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zia qu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Ribilanciamento" sheetId="3" state="visible" r:id="rId3"/>
    <sheet xmlns:r="http://schemas.openxmlformats.org/officeDocument/2006/relationships" name="Dividendi" sheetId="4" state="visible" r:id="rId4"/>
    <sheet xmlns:r="http://schemas.openxmlformats.org/officeDocument/2006/relationships" name="ETF" sheetId="5" state="visible" r:id="rId5"/>
    <sheet xmlns:r="http://schemas.openxmlformats.org/officeDocument/2006/relationships" name="Movimenti" sheetId="6" state="visible" r:id="rId6"/>
    <sheet xmlns:r="http://schemas.openxmlformats.org/officeDocument/2006/relationships" name="Storico" sheetId="7" state="visible" r:id="rId7"/>
    <sheet xmlns:r="http://schemas.openxmlformats.org/officeDocument/2006/relationships" name="Impostazioni" sheetId="8" state="visible" r:id="rId8"/>
    <sheet xmlns:r="http://schemas.openxmlformats.org/officeDocument/2006/relationships" name="Calcoli" sheetId="9" state="hidden" r:id="rId9"/>
  </sheets>
  <definedNames>
    <definedName name="_xlnm.Print_Area" localSheetId="0">'Inizia qui'!$A$1:$H$41</definedName>
    <definedName name="_xlnm.Print_Area" localSheetId="1">'Riepilogo'!$A$1:$T$82</definedName>
    <definedName name="_xlnm.Print_Area" localSheetId="2">'Ribilanciamento'!$A$1:$T$56</definedName>
    <definedName name="_xlnm.Print_Area" localSheetId="3">'Dividendi'!$A$1:$T$64</definedName>
  </definedNames>
  <calcPr calcId="124519" fullCalcOnLoad="1"/>
</workbook>
</file>

<file path=xl/styles.xml><?xml version="1.0" encoding="utf-8"?>
<styleSheet xmlns="http://schemas.openxmlformats.org/spreadsheetml/2006/main">
  <numFmts count="15">
    <numFmt numFmtId="164" formatCode="yyyy-mm-dd"/>
    <numFmt numFmtId="165" formatCode="DD/MM/YYYY"/>
    <numFmt numFmtId="166" formatCode="#,##0.00 &quot;€&quot;;-#,##0.00 &quot;€&quot;;&quot;–&quot;"/>
    <numFmt numFmtId="167" formatCode="0.00%;-0.00%;&quot;0%&quot;"/>
    <numFmt numFmtId="168" formatCode="0.0%;-0.0%;&quot;0%&quot;"/>
    <numFmt numFmtId="169" formatCode="#,##0.####;-#,##0.####;&quot;–&quot;"/>
    <numFmt numFmtId="170" formatCode="#,##0 &quot;€&quot;;-#,##0 &quot;€&quot;;&quot;–&quot;"/>
    <numFmt numFmtId="171" formatCode="+0.0&quot; punti&quot;;-0.0&quot; punti&quot;;&quot;–&quot;"/>
    <numFmt numFmtId="172" formatCode="+#,##0.00 &quot;€&quot;;-#,##0.00 &quot;€&quot;;&quot;–&quot;"/>
    <numFmt numFmtId="173" formatCode="mmm yyyy"/>
    <numFmt numFmtId="174" formatCode="+#,##0 &quot;€&quot;;-#,##0 &quot;€&quot;;&quot;–&quot;"/>
    <numFmt numFmtId="175" formatCode="+0.0;-0.0;0.0"/>
    <numFmt numFmtId="176" formatCode="+#,##0.##;-#,##0.##;&quot;–&quot;"/>
    <numFmt numFmtId="177" formatCode="+0.0%;-0.0%;&quot;0%&quot;"/>
    <numFmt numFmtId="178" formatCode="#,##0.00;-#,##0.00;&quot;·&quot;"/>
  </numFmts>
  <fonts count="62">
    <font>
      <name val="Calibri"/>
      <family val="2"/>
      <color theme="1"/>
      <sz val="11"/>
      <scheme val="minor"/>
    </font>
    <font>
      <name val="Arial"/>
      <b val="1"/>
      <strike val="0"/>
      <color rgb="002747B8"/>
      <sz val="16"/>
    </font>
    <font>
      <name val="Arial"/>
      <strike val="0"/>
      <color rgb="005B6475"/>
      <sz val="10"/>
    </font>
    <font>
      <name val="Arial"/>
      <strike val="0"/>
      <color rgb="002747B8"/>
      <sz val="10"/>
      <u val="single"/>
    </font>
    <font>
      <name val="Arial"/>
      <strike val="0"/>
      <color rgb="00121826"/>
      <sz val="10"/>
    </font>
    <font>
      <name val="Arial"/>
      <b val="1"/>
      <strike val="0"/>
      <color rgb="00121826"/>
      <sz val="9"/>
    </font>
    <font>
      <name val="Arial"/>
      <i val="1"/>
      <strike val="0"/>
      <color rgb="005B6475"/>
      <sz val="9"/>
    </font>
    <font>
      <name val="Arial"/>
      <b val="1"/>
      <strike val="0"/>
      <color rgb="00121826"/>
      <sz val="10"/>
    </font>
    <font>
      <name val="Arial"/>
      <b val="1"/>
      <strike val="0"/>
      <color rgb="00121826"/>
      <sz val="11"/>
    </font>
    <font>
      <name val="Arial"/>
      <strike val="0"/>
      <color rgb="005B6475"/>
      <sz val="9"/>
    </font>
    <font>
      <name val="Arial"/>
      <b val="1"/>
      <strike val="0"/>
      <color rgb="002747B8"/>
      <sz val="10"/>
    </font>
    <font>
      <name val="Arial"/>
      <b val="1"/>
      <strike val="0"/>
      <color rgb="00067647"/>
      <sz val="9"/>
    </font>
    <font>
      <name val="Arial"/>
      <b val="1"/>
      <strike val="0"/>
      <color rgb="00B54708"/>
      <sz val="10"/>
    </font>
    <font>
      <name val="Arial"/>
      <b val="1"/>
      <strike val="0"/>
      <color rgb="002747B8"/>
      <sz val="9"/>
    </font>
    <font>
      <name val="Arial"/>
      <b val="1"/>
      <strike val="0"/>
      <color rgb="00FFFFFF"/>
      <sz val="10"/>
    </font>
    <font>
      <name val="Arial"/>
      <b val="1"/>
      <strike val="0"/>
      <color rgb="00B54708"/>
      <sz val="9"/>
    </font>
    <font>
      <name val="Arial"/>
      <b val="1"/>
      <strike val="0"/>
      <color rgb="00EDF1F7"/>
      <sz val="11"/>
    </font>
    <font>
      <name val="Arial"/>
      <b val="1"/>
      <strike val="0"/>
      <color rgb="008590A8"/>
      <sz val="11"/>
    </font>
    <font>
      <name val="Arial"/>
      <strike val="0"/>
      <color rgb="00B8C1D3"/>
      <sz val="11"/>
    </font>
    <font>
      <name val="Arial"/>
      <b val="1"/>
      <strike val="0"/>
      <color rgb="00F5B83D"/>
      <sz val="11"/>
    </font>
    <font>
      <name val="Arial"/>
      <b val="1"/>
      <strike val="0"/>
      <color rgb="008590A8"/>
      <sz val="8"/>
    </font>
    <font>
      <name val="Arial"/>
      <strike val="0"/>
      <color rgb="00B8C1D3"/>
      <sz val="10"/>
    </font>
    <font>
      <name val="Arial"/>
      <strike val="0"/>
      <color rgb="008590A8"/>
      <sz val="8"/>
    </font>
    <font>
      <name val="Arial"/>
      <b val="1"/>
      <strike val="0"/>
      <color rgb="00EDF1F7"/>
      <sz val="14"/>
    </font>
    <font>
      <name val="Arial"/>
      <strike val="0"/>
      <color rgb="008590A8"/>
      <sz val="9"/>
    </font>
    <font>
      <name val="Arial"/>
      <b val="1"/>
      <strike val="0"/>
      <color rgb="008590A8"/>
      <sz val="9"/>
    </font>
    <font>
      <name val="Arial"/>
      <b val="1"/>
      <strike val="0"/>
      <color rgb="00121826"/>
      <sz val="12"/>
    </font>
    <font>
      <name val="Arial"/>
      <b val="1"/>
      <strike val="0"/>
      <color rgb="00EDF1F7"/>
      <sz val="16"/>
    </font>
    <font>
      <name val="Arial"/>
      <b val="1"/>
      <strike val="0"/>
      <color rgb="0034D399"/>
      <sz val="16"/>
    </font>
    <font>
      <name val="Arial"/>
      <b val="1"/>
      <strike val="0"/>
      <color rgb="00F5B83D"/>
      <sz val="16"/>
    </font>
    <font>
      <name val="Arial"/>
      <b val="1"/>
      <strike val="0"/>
      <color rgb="00F87171"/>
      <sz val="16"/>
    </font>
    <font>
      <name val="Arial"/>
      <b val="1"/>
      <strike val="0"/>
      <color rgb="00EDF1F7"/>
      <sz val="10"/>
    </font>
    <font>
      <name val="Arial"/>
      <b val="1"/>
      <strike val="0"/>
      <color rgb="0034D399"/>
      <sz val="10"/>
    </font>
    <font>
      <name val="Arial"/>
      <strike val="0"/>
      <color rgb="002EC4D6"/>
      <sz val="8"/>
    </font>
    <font>
      <name val="Arial"/>
      <b val="1"/>
      <strike val="0"/>
      <color rgb="00F5B83D"/>
      <sz val="9"/>
    </font>
    <font>
      <name val="Arial"/>
      <strike val="0"/>
      <color rgb="00F87171"/>
      <sz val="10"/>
    </font>
    <font>
      <name val="Arial"/>
      <strike val="0"/>
      <color rgb="00F5B83D"/>
      <sz val="8"/>
      <u val="single"/>
    </font>
    <font>
      <name val="Arial"/>
      <strike val="0"/>
      <color rgb="00B8C1D3"/>
      <sz val="8"/>
    </font>
    <font>
      <name val="Arial"/>
      <strike val="0"/>
      <color rgb="00F5B83D"/>
      <sz val="8"/>
    </font>
    <font>
      <name val="Arial"/>
      <b val="1"/>
      <strike val="0"/>
      <color rgb="00F5B83D"/>
      <sz val="10"/>
    </font>
    <font>
      <name val="Arial"/>
      <b val="1"/>
      <strike val="0"/>
      <color rgb="00F5B83D"/>
      <sz val="14"/>
    </font>
    <font>
      <name val="Arial"/>
      <strike val="0"/>
      <color rgb="00B8C1D3"/>
      <sz val="9"/>
    </font>
    <font>
      <name val="Arial"/>
      <b val="1"/>
      <strike val="0"/>
      <color rgb="00EDF1F7"/>
      <sz val="8"/>
    </font>
    <font>
      <name val="Arial"/>
      <b val="1"/>
      <strike val="0"/>
      <color rgb="00EDF1F7"/>
      <sz val="9"/>
    </font>
    <font>
      <name val="Arial"/>
      <b val="1"/>
      <strike val="0"/>
      <color rgb="006C8CFF"/>
      <sz val="9"/>
    </font>
    <font>
      <name val="Arial"/>
      <b val="1"/>
      <strike val="0"/>
      <color rgb="0034D399"/>
      <sz val="9"/>
    </font>
    <font>
      <name val="Arial"/>
      <b val="1"/>
      <strike val="0"/>
      <color rgb="002EC4D6"/>
      <sz val="9"/>
    </font>
    <font>
      <name val="Arial"/>
      <b val="1"/>
      <strike val="0"/>
      <color rgb="00A78BFA"/>
      <sz val="9"/>
    </font>
    <font>
      <name val="Arial"/>
      <b val="1"/>
      <strike val="0"/>
      <color rgb="00F472B6"/>
      <sz val="9"/>
    </font>
    <font>
      <name val="Arial"/>
      <b val="1"/>
      <strike val="0"/>
      <color rgb="0093C5FD"/>
      <sz val="9"/>
    </font>
    <font>
      <name val="Arial"/>
      <b val="1"/>
      <strike val="0"/>
      <color rgb="00FCD34D"/>
      <sz val="9"/>
    </font>
    <font>
      <name val="Arial"/>
      <b val="1"/>
      <strike val="0"/>
      <color rgb="00C4B5FD"/>
      <sz val="9"/>
    </font>
    <font>
      <name val="Arial"/>
      <b val="1"/>
      <strike val="0"/>
      <color rgb="0067E8F9"/>
      <sz val="9"/>
    </font>
    <font>
      <name val="Arial"/>
      <b val="1"/>
      <strike val="0"/>
      <color rgb="00FDA4AF"/>
      <sz val="9"/>
    </font>
    <font>
      <name val="Arial"/>
      <b val="1"/>
      <strike val="0"/>
      <color rgb="006EE7B7"/>
      <sz val="9"/>
    </font>
    <font>
      <name val="Arial"/>
      <b val="1"/>
      <strike val="0"/>
      <color rgb="00A5B4FC"/>
      <sz val="9"/>
    </font>
    <font>
      <name val="Arial"/>
      <b val="1"/>
      <strike val="0"/>
      <color rgb="00FDBA74"/>
      <sz val="9"/>
    </font>
    <font>
      <name val="Arial"/>
      <b val="1"/>
      <strike val="0"/>
      <color rgb="00D9F99D"/>
      <sz val="9"/>
    </font>
    <font>
      <name val="Arial"/>
      <b val="1"/>
      <strike val="0"/>
      <color rgb="00B8C1D3"/>
      <sz val="10"/>
    </font>
    <font>
      <name val="Arial"/>
      <b val="1"/>
      <strike val="0"/>
      <color rgb="00EDF1F7"/>
      <sz val="20"/>
    </font>
    <font>
      <name val="Arial"/>
      <strike val="0"/>
      <color rgb="008590A8"/>
      <sz val="10"/>
    </font>
    <font>
      <name val="Arial"/>
      <b val="1"/>
      <strike val="0"/>
      <color rgb="00F5B83D"/>
      <sz val="10"/>
      <u val="single"/>
    </font>
  </fonts>
  <fills count="9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2747B8"/>
      </patternFill>
    </fill>
    <fill>
      <patternFill patternType="solid">
        <fgColor rgb="005B6475"/>
      </patternFill>
    </fill>
    <fill>
      <patternFill patternType="solid">
        <fgColor rgb="00F2F4F7"/>
      </patternFill>
    </fill>
    <fill>
      <patternFill patternType="solid">
        <fgColor rgb="000D1322"/>
      </patternFill>
    </fill>
    <fill>
      <patternFill patternType="solid">
        <fgColor rgb="00151D33"/>
      </patternFill>
    </fill>
    <fill>
      <patternFill patternType="solid">
        <fgColor rgb="001C2642"/>
      </patternFill>
    </fill>
  </fills>
  <borders count="3">
    <border>
      <left/>
      <right/>
      <top/>
      <bottom/>
      <diagonal/>
    </border>
    <border>
      <left style="thin">
        <color rgb="00DCE1EA"/>
      </left>
      <right style="thin">
        <color rgb="00DCE1EA"/>
      </right>
      <top style="thin">
        <color rgb="00DCE1EA"/>
      </top>
      <bottom style="thin">
        <color rgb="00DCE1EA"/>
      </bottom>
    </border>
    <border>
      <left style="thick">
        <color rgb="00F5B83D"/>
      </left>
    </border>
  </borders>
  <cellStyleXfs count="1">
    <xf numFmtId="0" fontId="0" fillId="0" borderId="0"/>
  </cellStyleXfs>
  <cellXfs count="149">
    <xf numFmtId="0" fontId="0" fillId="0" borderId="0" pivotButton="0" quotePrefix="0" xfId="0"/>
    <xf numFmtId="0" fontId="0" fillId="6" borderId="0" pivotButton="0" quotePrefix="0" xfId="0"/>
    <xf numFmtId="0" fontId="59" fillId="6" borderId="0" applyAlignment="1" pivotButton="0" quotePrefix="0" xfId="0">
      <alignment horizontal="left" vertical="center"/>
    </xf>
    <xf numFmtId="0" fontId="60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40" fillId="6" borderId="0" applyAlignment="1" pivotButton="0" quotePrefix="0" xfId="0">
      <alignment horizontal="center" vertical="center"/>
    </xf>
    <xf numFmtId="0" fontId="16" fillId="7" borderId="0" applyAlignment="1" pivotButton="0" quotePrefix="0" xfId="0">
      <alignment horizontal="left" vertical="center"/>
    </xf>
    <xf numFmtId="0" fontId="21" fillId="7" borderId="0" applyAlignment="1" pivotButton="0" quotePrefix="0" xfId="0">
      <alignment horizontal="left" vertical="top" wrapText="1"/>
    </xf>
    <xf numFmtId="0" fontId="16" fillId="8" borderId="0" applyAlignment="1" pivotButton="0" quotePrefix="0" xfId="0">
      <alignment vertical="center"/>
    </xf>
    <xf numFmtId="0" fontId="21" fillId="6" borderId="0" applyAlignment="1" pivotButton="0" quotePrefix="0" xfId="0">
      <alignment horizontal="left" vertical="top" wrapText="1"/>
    </xf>
    <xf numFmtId="0" fontId="61" fillId="6" borderId="0" pivotButton="0" quotePrefix="0" xfId="0"/>
    <xf numFmtId="0" fontId="31" fillId="6" borderId="0" applyAlignment="1" pivotButton="0" quotePrefix="0" xfId="0">
      <alignment horizontal="right" vertical="center"/>
    </xf>
    <xf numFmtId="0" fontId="16" fillId="6" borderId="0" applyAlignment="1" pivotButton="0" quotePrefix="0" xfId="0">
      <alignment horizontal="left" vertical="center"/>
    </xf>
    <xf numFmtId="0" fontId="17" fillId="6" borderId="0" applyAlignment="1" pivotButton="0" quotePrefix="0" xfId="0">
      <alignment horizontal="left" vertical="center"/>
    </xf>
    <xf numFmtId="0" fontId="39" fillId="7" borderId="0" applyAlignment="1" pivotButton="0" quotePrefix="0" xfId="0">
      <alignment horizontal="center" vertical="center"/>
    </xf>
    <xf numFmtId="0" fontId="22" fillId="6" borderId="0" applyAlignment="1" pivotButton="0" quotePrefix="0" xfId="0">
      <alignment horizontal="center"/>
    </xf>
    <xf numFmtId="0" fontId="19" fillId="8" borderId="2" applyAlignment="1" pivotButton="0" quotePrefix="0" xfId="0">
      <alignment vertical="center"/>
    </xf>
    <xf numFmtId="0" fontId="23" fillId="6" borderId="0" applyAlignment="1" pivotButton="0" quotePrefix="0" xfId="0">
      <alignment horizontal="left" vertical="center"/>
    </xf>
    <xf numFmtId="0" fontId="20" fillId="7" borderId="0" applyAlignment="1" pivotButton="0" quotePrefix="0" xfId="0">
      <alignment horizontal="center" vertical="center"/>
    </xf>
    <xf numFmtId="0" fontId="18" fillId="7" borderId="0" applyAlignment="1" pivotButton="0" quotePrefix="0" xfId="0">
      <alignment vertical="center"/>
    </xf>
    <xf numFmtId="0" fontId="40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25" fillId="7" borderId="0" applyAlignment="1" pivotButton="0" quotePrefix="0" xfId="0">
      <alignment horizontal="left" vertical="bottom" indent="1"/>
    </xf>
    <xf numFmtId="0" fontId="37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170" fontId="27" fillId="7" borderId="0" applyAlignment="1" pivotButton="0" quotePrefix="0" xfId="0">
      <alignment horizontal="left" vertical="center" indent="1"/>
    </xf>
    <xf numFmtId="174" fontId="27" fillId="7" borderId="0" applyAlignment="1" pivotButton="0" quotePrefix="0" xfId="0">
      <alignment horizontal="left" vertical="center" indent="1"/>
    </xf>
    <xf numFmtId="177" fontId="28" fillId="7" borderId="0" applyAlignment="1" pivotButton="0" quotePrefix="0" xfId="0">
      <alignment horizontal="left" vertical="center" indent="1"/>
    </xf>
    <xf numFmtId="170" fontId="30" fillId="7" borderId="0" applyAlignment="1" pivotButton="0" quotePrefix="0" xfId="0">
      <alignment horizontal="left" vertical="center" indent="1"/>
    </xf>
    <xf numFmtId="0" fontId="21" fillId="7" borderId="0" pivotButton="0" quotePrefix="0" xfId="0"/>
    <xf numFmtId="0" fontId="22" fillId="7" borderId="0" applyAlignment="1" pivotButton="0" quotePrefix="0" xfId="0">
      <alignment horizontal="left" vertical="top" indent="1"/>
    </xf>
    <xf numFmtId="170" fontId="34" fillId="7" borderId="0" applyAlignment="1" pivotButton="0" quotePrefix="0" xfId="0">
      <alignment horizontal="right" vertical="center"/>
    </xf>
    <xf numFmtId="0" fontId="20" fillId="7" borderId="0" applyAlignment="1" pivotButton="0" quotePrefix="0" xfId="0">
      <alignment horizontal="right" vertical="center"/>
    </xf>
    <xf numFmtId="0" fontId="41" fillId="7" borderId="0" applyAlignment="1" pivotButton="0" quotePrefix="0" xfId="0">
      <alignment horizontal="left" vertical="center"/>
    </xf>
    <xf numFmtId="0" fontId="44" fillId="7" borderId="0" applyAlignment="1" pivotButton="0" quotePrefix="0" xfId="0">
      <alignment horizontal="left" vertical="center"/>
    </xf>
    <xf numFmtId="168" fontId="43" fillId="7" borderId="0" applyAlignment="1" pivotButton="0" quotePrefix="0" xfId="0">
      <alignment horizontal="right" vertical="center"/>
    </xf>
    <xf numFmtId="168" fontId="41" fillId="7" borderId="0" applyAlignment="1" pivotButton="0" quotePrefix="0" xfId="0">
      <alignment horizontal="right" vertical="center"/>
    </xf>
    <xf numFmtId="175" fontId="41" fillId="7" borderId="0" applyAlignment="1" pivotButton="0" quotePrefix="0" xfId="0">
      <alignment horizontal="right" vertical="center"/>
    </xf>
    <xf numFmtId="0" fontId="45" fillId="7" borderId="0" applyAlignment="1" pivotButton="0" quotePrefix="0" xfId="0">
      <alignment horizontal="center" vertical="center"/>
    </xf>
    <xf numFmtId="0" fontId="37" fillId="7" borderId="0" applyAlignment="1" pivotButton="0" quotePrefix="0" xfId="0">
      <alignment vertical="center" shrinkToFit="1" indent="1"/>
    </xf>
    <xf numFmtId="170" fontId="42" fillId="7" borderId="0" applyAlignment="1" pivotButton="0" quotePrefix="0" xfId="0">
      <alignment horizontal="right" vertical="center"/>
    </xf>
    <xf numFmtId="0" fontId="46" fillId="7" borderId="0" applyAlignment="1" pivotButton="0" quotePrefix="0" xfId="0">
      <alignment horizontal="left" vertical="center"/>
    </xf>
    <xf numFmtId="0" fontId="34" fillId="7" borderId="0" applyAlignment="1" pivotButton="0" quotePrefix="0" xfId="0">
      <alignment horizontal="left" vertical="center"/>
    </xf>
    <xf numFmtId="0" fontId="47" fillId="7" borderId="0" applyAlignment="1" pivotButton="0" quotePrefix="0" xfId="0">
      <alignment horizontal="left" vertical="center"/>
    </xf>
    <xf numFmtId="0" fontId="48" fillId="7" borderId="0" applyAlignment="1" pivotButton="0" quotePrefix="0" xfId="0">
      <alignment horizontal="left" vertical="center"/>
    </xf>
    <xf numFmtId="0" fontId="45" fillId="7" borderId="0" applyAlignment="1" pivotButton="0" quotePrefix="0" xfId="0">
      <alignment horizontal="left" vertical="center"/>
    </xf>
    <xf numFmtId="0" fontId="49" fillId="7" borderId="0" applyAlignment="1" pivotButton="0" quotePrefix="0" xfId="0">
      <alignment horizontal="left" vertical="center"/>
    </xf>
    <xf numFmtId="0" fontId="50" fillId="7" borderId="0" applyAlignment="1" pivotButton="0" quotePrefix="0" xfId="0">
      <alignment horizontal="left" vertical="center"/>
    </xf>
    <xf numFmtId="0" fontId="51" fillId="7" borderId="0" applyAlignment="1" pivotButton="0" quotePrefix="0" xfId="0">
      <alignment horizontal="left" vertical="center"/>
    </xf>
    <xf numFmtId="0" fontId="52" fillId="7" borderId="0" applyAlignment="1" pivotButton="0" quotePrefix="0" xfId="0">
      <alignment horizontal="left" vertical="center"/>
    </xf>
    <xf numFmtId="0" fontId="53" fillId="7" borderId="0" applyAlignment="1" pivotButton="0" quotePrefix="0" xfId="0">
      <alignment horizontal="left" vertical="center"/>
    </xf>
    <xf numFmtId="0" fontId="54" fillId="7" borderId="0" applyAlignment="1" pivotButton="0" quotePrefix="0" xfId="0">
      <alignment horizontal="left" vertical="center"/>
    </xf>
    <xf numFmtId="0" fontId="22" fillId="7" borderId="0" applyAlignment="1" pivotButton="0" quotePrefix="0" xfId="0">
      <alignment horizontal="left" vertical="center"/>
    </xf>
    <xf numFmtId="0" fontId="55" fillId="7" borderId="0" applyAlignment="1" pivotButton="0" quotePrefix="0" xfId="0">
      <alignment horizontal="left" vertical="center"/>
    </xf>
    <xf numFmtId="0" fontId="56" fillId="7" borderId="0" applyAlignment="1" pivotButton="0" quotePrefix="0" xfId="0">
      <alignment horizontal="left" vertical="center"/>
    </xf>
    <xf numFmtId="0" fontId="57" fillId="7" borderId="0" applyAlignment="1" pivotButton="0" quotePrefix="0" xfId="0">
      <alignment horizontal="left" vertical="center"/>
    </xf>
    <xf numFmtId="0" fontId="38" fillId="7" borderId="0" applyAlignment="1" pivotButton="0" quotePrefix="0" xfId="0">
      <alignment vertical="center" shrinkToFit="1" indent="1"/>
    </xf>
    <xf numFmtId="170" fontId="43" fillId="7" borderId="0" applyAlignment="1" pivotButton="0" quotePrefix="0" xfId="0">
      <alignment horizontal="right" vertical="center"/>
    </xf>
    <xf numFmtId="167" fontId="43" fillId="7" borderId="0" applyAlignment="1" pivotButton="0" quotePrefix="0" xfId="0">
      <alignment horizontal="right" vertical="center"/>
    </xf>
    <xf numFmtId="0" fontId="38" fillId="7" borderId="0" pivotButton="0" quotePrefix="0" xfId="0"/>
    <xf numFmtId="0" fontId="22" fillId="6" borderId="0" applyAlignment="1" pivotButton="0" quotePrefix="0" xfId="0">
      <alignment horizontal="left" vertical="center"/>
    </xf>
    <xf numFmtId="0" fontId="20" fillId="7" borderId="0" applyAlignment="1" pivotButton="0" quotePrefix="0" xfId="0">
      <alignment horizontal="left" vertical="center" wrapText="1"/>
    </xf>
    <xf numFmtId="0" fontId="20" fillId="7" borderId="0" applyAlignment="1" pivotButton="0" quotePrefix="0" xfId="0">
      <alignment horizontal="right" vertical="center" wrapText="1"/>
    </xf>
    <xf numFmtId="0" fontId="43" fillId="7" borderId="0" applyAlignment="1" pivotButton="0" quotePrefix="0" xfId="0">
      <alignment horizontal="left" vertical="center"/>
    </xf>
    <xf numFmtId="0" fontId="24" fillId="7" borderId="0" applyAlignment="1" pivotButton="0" quotePrefix="0" xfId="0">
      <alignment horizontal="left" vertical="center"/>
    </xf>
    <xf numFmtId="169" fontId="41" fillId="7" borderId="0" applyAlignment="1" pivotButton="0" quotePrefix="0" xfId="0">
      <alignment horizontal="right" vertical="center"/>
    </xf>
    <xf numFmtId="166" fontId="41" fillId="7" borderId="0" applyAlignment="1" pivotButton="0" quotePrefix="0" xfId="0">
      <alignment horizontal="right" vertical="center"/>
    </xf>
    <xf numFmtId="174" fontId="43" fillId="7" borderId="0" applyAlignment="1" pivotButton="0" quotePrefix="0" xfId="0">
      <alignment horizontal="right" vertical="center"/>
    </xf>
    <xf numFmtId="177" fontId="41" fillId="7" borderId="0" applyAlignment="1" pivotButton="0" quotePrefix="0" xfId="0">
      <alignment horizontal="right" vertical="center"/>
    </xf>
    <xf numFmtId="170" fontId="41" fillId="7" borderId="0" applyAlignment="1" pivotButton="0" quotePrefix="0" xfId="0">
      <alignment horizontal="right" vertical="center"/>
    </xf>
    <xf numFmtId="167" fontId="41" fillId="7" borderId="0" applyAlignment="1" pivotButton="0" quotePrefix="0" xfId="0">
      <alignment horizontal="right" vertical="center"/>
    </xf>
    <xf numFmtId="0" fontId="33" fillId="7" borderId="0" applyAlignment="1" pivotButton="0" quotePrefix="0" xfId="0">
      <alignment horizontal="left" vertical="center"/>
    </xf>
    <xf numFmtId="0" fontId="24" fillId="6" borderId="0" applyAlignment="1" pivotButton="0" quotePrefix="0" xfId="0">
      <alignment horizontal="left" vertical="center"/>
    </xf>
    <xf numFmtId="0" fontId="29" fillId="7" borderId="0" applyAlignment="1" pivotButton="0" quotePrefix="0" xfId="0">
      <alignment horizontal="center" vertical="center"/>
    </xf>
    <xf numFmtId="0" fontId="25" fillId="7" borderId="0" applyAlignment="1" pivotButton="0" quotePrefix="0" xfId="0">
      <alignment horizontal="left" vertical="center"/>
    </xf>
    <xf numFmtId="170" fontId="26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6" fillId="2" borderId="1" applyAlignment="1" pivotButton="0" quotePrefix="0" xfId="0">
      <alignment horizontal="center" vertical="center"/>
    </xf>
    <xf numFmtId="0" fontId="38" fillId="7" borderId="0" applyAlignment="1" pivotButton="0" quotePrefix="0" xfId="0">
      <alignment horizontal="center"/>
    </xf>
    <xf numFmtId="170" fontId="28" fillId="7" borderId="0" applyAlignment="1" pivotButton="0" quotePrefix="0" xfId="0">
      <alignment horizontal="left" vertical="center" indent="1"/>
    </xf>
    <xf numFmtId="166" fontId="29" fillId="7" borderId="0" applyAlignment="1" pivotButton="0" quotePrefix="0" xfId="0">
      <alignment horizontal="left" vertical="center" indent="1"/>
    </xf>
    <xf numFmtId="166" fontId="30" fillId="7" borderId="0" applyAlignment="1" pivotButton="0" quotePrefix="0" xfId="0">
      <alignment horizontal="left" vertical="center" indent="1"/>
    </xf>
    <xf numFmtId="0" fontId="37" fillId="7" borderId="0" applyAlignment="1" pivotButton="0" quotePrefix="0" xfId="0">
      <alignment horizontal="left" vertical="top" wrapText="1"/>
    </xf>
    <xf numFmtId="0" fontId="31" fillId="7" borderId="0" applyAlignment="1" pivotButton="0" quotePrefix="0" xfId="0">
      <alignment horizontal="left" vertical="center"/>
    </xf>
    <xf numFmtId="168" fontId="21" fillId="7" borderId="0" applyAlignment="1" pivotButton="0" quotePrefix="0" xfId="0">
      <alignment horizontal="right" vertical="center"/>
    </xf>
    <xf numFmtId="166" fontId="32" fillId="7" borderId="0" applyAlignment="1" pivotButton="0" quotePrefix="0" xfId="0">
      <alignment horizontal="right" vertical="center"/>
    </xf>
    <xf numFmtId="169" fontId="31" fillId="7" borderId="0" applyAlignment="1" pivotButton="0" quotePrefix="0" xfId="0">
      <alignment horizontal="right" vertical="center"/>
    </xf>
    <xf numFmtId="175" fontId="21" fillId="7" borderId="0" applyAlignment="1" pivotButton="0" quotePrefix="0" xfId="0">
      <alignment horizontal="right" vertical="center"/>
    </xf>
    <xf numFmtId="170" fontId="21" fillId="7" borderId="0" applyAlignment="1" pivotButton="0" quotePrefix="0" xfId="0">
      <alignment horizontal="right" vertical="center"/>
    </xf>
    <xf numFmtId="174" fontId="31" fillId="7" borderId="0" applyAlignment="1" pivotButton="0" quotePrefix="0" xfId="0">
      <alignment horizontal="right" vertical="center"/>
    </xf>
    <xf numFmtId="176" fontId="21" fillId="7" borderId="0" applyAlignment="1" pivotButton="0" quotePrefix="0" xfId="0">
      <alignment horizontal="right" vertical="center"/>
    </xf>
    <xf numFmtId="166" fontId="35" fillId="7" borderId="0" applyAlignment="1" pivotButton="0" quotePrefix="0" xfId="0">
      <alignment horizontal="right" vertical="center"/>
    </xf>
    <xf numFmtId="0" fontId="36" fillId="7" borderId="0" pivotButton="0" quotePrefix="0" xfId="0"/>
    <xf numFmtId="1" fontId="26" fillId="2" borderId="1" applyAlignment="1" pivotButton="0" quotePrefix="0" xfId="0">
      <alignment horizontal="center" vertical="center"/>
    </xf>
    <xf numFmtId="166" fontId="28" fillId="7" borderId="0" applyAlignment="1" pivotButton="0" quotePrefix="0" xfId="0">
      <alignment horizontal="left" vertical="center" indent="1"/>
    </xf>
    <xf numFmtId="167" fontId="27" fillId="7" borderId="0" applyAlignment="1" pivotButton="0" quotePrefix="0" xfId="0">
      <alignment horizontal="left" vertical="center" indent="1"/>
    </xf>
    <xf numFmtId="166" fontId="27" fillId="7" borderId="0" applyAlignment="1" pivotButton="0" quotePrefix="0" xfId="0">
      <alignment horizontal="left" vertical="center" indent="1"/>
    </xf>
    <xf numFmtId="1" fontId="31" fillId="7" borderId="0" applyAlignment="1" pivotButton="0" quotePrefix="0" xfId="0">
      <alignment horizontal="left" vertical="center"/>
    </xf>
    <xf numFmtId="178" fontId="41" fillId="7" borderId="0" applyAlignment="1" pivotButton="0" quotePrefix="0" xfId="0">
      <alignment horizontal="right" vertical="center"/>
    </xf>
    <xf numFmtId="166" fontId="31" fillId="7" borderId="0" applyAlignment="1" pivotButton="0" quotePrefix="0" xfId="0">
      <alignment horizontal="right" vertical="center"/>
    </xf>
    <xf numFmtId="177" fontId="58" fillId="7" borderId="0" applyAlignment="1" pivotButton="0" quotePrefix="0" xfId="0">
      <alignment horizontal="right" vertical="center"/>
    </xf>
    <xf numFmtId="0" fontId="43" fillId="7" borderId="0" applyAlignment="1" pivotButton="0" quotePrefix="0" xfId="0">
      <alignment vertical="center" shrinkToFit="1"/>
    </xf>
    <xf numFmtId="166" fontId="43" fillId="7" borderId="0" applyAlignment="1" pivotButton="0" quotePrefix="0" xfId="0">
      <alignment horizontal="right" vertical="center"/>
    </xf>
    <xf numFmtId="178" fontId="34" fillId="7" borderId="0" applyAlignment="1" pivotButton="0" quotePrefix="0" xfId="0">
      <alignment horizontal="right" vertical="center"/>
    </xf>
    <xf numFmtId="166" fontId="34" fillId="7" borderId="0" applyAlignment="1" pivotButton="0" quotePrefix="0" xfId="0">
      <alignment horizontal="right" vertical="center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2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6" fillId="0" borderId="0" pivotButton="0" quotePrefix="0" xfId="0"/>
    <xf numFmtId="0" fontId="13" fillId="0" borderId="0" applyAlignment="1" pivotButton="0" quotePrefix="0" xfId="0">
      <alignment horizontal="center"/>
    </xf>
    <xf numFmtId="0" fontId="14" fillId="3" borderId="1" applyAlignment="1" pivotButton="0" quotePrefix="0" xfId="0">
      <alignment horizontal="left" vertical="center" wrapText="1"/>
    </xf>
    <xf numFmtId="0" fontId="14" fillId="3" borderId="1" applyAlignment="1" pivotButton="0" quotePrefix="0" xfId="0">
      <alignment horizontal="center" vertical="center" wrapText="1"/>
    </xf>
    <xf numFmtId="0" fontId="14" fillId="4" borderId="1" applyAlignment="1" pivotButton="0" quotePrefix="0" xfId="0">
      <alignment horizontal="left" vertical="center" wrapText="1"/>
    </xf>
    <xf numFmtId="0" fontId="14" fillId="4" borderId="1" applyAlignment="1" pivotButton="0" quotePrefix="0" xfId="0">
      <alignment horizontal="center" vertical="center" wrapText="1"/>
    </xf>
    <xf numFmtId="0" fontId="4" fillId="2" borderId="1" pivotButton="0" quotePrefix="0" xfId="0"/>
    <xf numFmtId="0" fontId="9" fillId="2" borderId="1" pivotButton="0" quotePrefix="0" xfId="0"/>
    <xf numFmtId="167" fontId="4" fillId="2" borderId="1" pivotButton="0" quotePrefix="0" xfId="0"/>
    <xf numFmtId="168" fontId="4" fillId="2" borderId="1" pivotButton="0" quotePrefix="0" xfId="0"/>
    <xf numFmtId="166" fontId="4" fillId="2" borderId="1" pivotButton="0" quotePrefix="0" xfId="0"/>
    <xf numFmtId="169" fontId="4" fillId="2" borderId="1" pivotButton="0" quotePrefix="0" xfId="0"/>
    <xf numFmtId="169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70" fontId="2" fillId="5" borderId="1" applyAlignment="1" pivotButton="0" quotePrefix="0" xfId="0">
      <alignment horizontal="right" vertical="center"/>
    </xf>
    <xf numFmtId="168" fontId="2" fillId="5" borderId="1" applyAlignment="1" pivotButton="0" quotePrefix="0" xfId="0">
      <alignment horizontal="right" vertical="center"/>
    </xf>
    <xf numFmtId="17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7" fillId="0" borderId="0" pivotButton="0" quotePrefix="0" xfId="0"/>
    <xf numFmtId="168" fontId="7" fillId="0" borderId="0" pivotButton="0" quotePrefix="0" xfId="0"/>
    <xf numFmtId="0" fontId="11" fillId="0" borderId="0" pivotButton="0" quotePrefix="0" xfId="0"/>
    <xf numFmtId="170" fontId="7" fillId="0" borderId="0" pivotButton="0" quotePrefix="0" xfId="0"/>
    <xf numFmtId="0" fontId="5" fillId="2" borderId="1" applyAlignment="1" pivotButton="0" quotePrefix="0" xfId="0">
      <alignment horizontal="center"/>
    </xf>
    <xf numFmtId="0" fontId="15" fillId="0" borderId="0" pivotButton="0" quotePrefix="0" xfId="0"/>
    <xf numFmtId="165" fontId="4" fillId="2" borderId="1" applyAlignment="1" pivotButton="0" quotePrefix="0" xfId="0">
      <alignment horizontal="center"/>
    </xf>
    <xf numFmtId="172" fontId="2" fillId="5" borderId="1" applyAlignment="1" pivotButton="0" quotePrefix="0" xfId="0">
      <alignment horizontal="right" vertical="center"/>
    </xf>
    <xf numFmtId="173" fontId="4" fillId="2" borderId="1" applyAlignment="1" pivotButton="0" quotePrefix="0" xfId="0">
      <alignment horizontal="center"/>
    </xf>
    <xf numFmtId="170" fontId="4" fillId="2" borderId="1" pivotButton="0" quotePrefix="0" xfId="0"/>
    <xf numFmtId="174" fontId="2" fillId="5" borderId="1" applyAlignment="1" pivotButton="0" quotePrefix="0" xfId="0">
      <alignment horizontal="right" vertical="center"/>
    </xf>
    <xf numFmtId="0" fontId="10" fillId="0" borderId="0" pivotButton="0" quotePrefix="0" xfId="0"/>
    <xf numFmtId="0" fontId="10" fillId="0" borderId="0" applyAlignment="1" pivotButton="0" quotePrefix="0" xfId="0">
      <alignment horizontal="center" vertical="bottom" wrapText="1"/>
    </xf>
    <xf numFmtId="0" fontId="7" fillId="0" borderId="0" applyAlignment="1" pivotButton="0" quotePrefix="0" xfId="0">
      <alignment vertical="center" wrapText="1"/>
    </xf>
    <xf numFmtId="0" fontId="8" fillId="2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  <xf numFmtId="165" fontId="8" fillId="2" borderId="1" applyAlignment="1" pivotButton="0" quotePrefix="0" xfId="0">
      <alignment horizontal="center" vertical="center"/>
    </xf>
    <xf numFmtId="9" fontId="8" fillId="2" borderId="1" applyAlignment="1" pivotButton="0" quotePrefix="0" xfId="0">
      <alignment horizontal="center" vertical="center"/>
    </xf>
    <xf numFmtId="166" fontId="8" fillId="2" borderId="1" applyAlignment="1" pivotButton="0" quotePrefix="0" xfId="0">
      <alignment horizontal="center" vertical="center"/>
    </xf>
    <xf numFmtId="167" fontId="8" fillId="2" borderId="1" applyAlignment="1" pivotButton="0" quotePrefix="0" xfId="0">
      <alignment horizontal="center" vertical="center"/>
    </xf>
    <xf numFmtId="168" fontId="7" fillId="0" borderId="0" applyAlignment="1" pivotButton="0" quotePrefix="0" xfId="0">
      <alignment horizontal="center"/>
    </xf>
  </cellXfs>
  <cellStyles count="1">
    <cellStyle name="Normal" xfId="0" builtinId="0" hidden="0"/>
  </cellStyles>
  <dxfs count="9">
    <dxf>
      <font>
        <name val="Arial"/>
        <b val="1"/>
        <color rgb="00F87171"/>
        <sz val="16"/>
      </font>
    </dxf>
    <dxf>
      <font>
        <name val="Arial"/>
        <b val="1"/>
        <color rgb="0034D399"/>
        <sz val="16"/>
      </font>
    </dxf>
    <dxf>
      <font>
        <name val="Arial"/>
        <b val="1"/>
        <color rgb="00F87171"/>
      </font>
    </dxf>
    <dxf>
      <font>
        <name val="Arial"/>
        <b val="1"/>
        <color rgb="0034D399"/>
      </font>
    </dxf>
    <dxf>
      <font>
        <name val="Arial"/>
        <b val="1"/>
        <color rgb="00B42318"/>
      </font>
    </dxf>
    <dxf>
      <font>
        <name val="Arial"/>
        <i val="1"/>
        <color rgb="005B6475"/>
      </font>
    </dxf>
    <dxf>
      <font>
        <name val="Arial"/>
        <b val="1"/>
        <strike val="1"/>
        <color rgb="00B42318"/>
      </font>
    </dxf>
    <dxf>
      <font>
        <name val="Arial"/>
        <b val="1"/>
        <color rgb="00067647"/>
      </font>
    </dxf>
    <dxf>
      <font>
        <name val="Arial"/>
        <color rgb="0006764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sz="1100" b="1">
                <a:solidFill>
                  <a:srgbClr val="EDF1F7"/>
                </a:solidFill>
                <a:latin typeface="Arial"/>
              </a:rPr>
              <a:t>Com’è diviso oggi</a:t>
            </a:r>
          </a:p>
        </rich>
      </tx>
      <overlay val="0"/>
    </title>
    <plotArea>
      <doughnutChart>
        <varyColors val="1"/>
        <ser>
          <idx val="0"/>
          <order val="0"/>
          <tx>
            <v>Valore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6C8CFF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EC4D6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5B83D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78BFA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472B6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4D399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93C5FD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CD34D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4B5FD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67E8F9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FDA4AF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6EE7B7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A5B4FC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13"/>
            <spPr>
              <a:solidFill xmlns:a="http://schemas.openxmlformats.org/drawingml/2006/main">
                <a:srgbClr val="FDBA74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dPt>
            <idx val="14"/>
            <spPr>
              <a:solidFill xmlns:a="http://schemas.openxmlformats.org/drawingml/2006/main">
                <a:srgbClr val="D9F99D"/>
              </a:solidFill>
              <a:ln xmlns:a="http://schemas.openxmlformats.org/drawingml/2006/main">
                <a:solidFill>
                  <a:srgbClr val="151D33"/>
                </a:solidFill>
                <a:prstDash val="solid"/>
              </a:ln>
            </spPr>
          </dPt>
          <cat>
            <numRef>
              <f>'Calcoli'!$C$140:$C$154</f>
            </numRef>
          </cat>
          <val>
            <numRef>
              <f>'Calcoli'!$D$140:$D$154</f>
            </numRef>
          </val>
        </ser>
        <firstSliceAng val="0"/>
        <holeSize val="62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0"/>
    <dispBlanksAs val="gap"/>
  </chart>
  <spPr>
    <a:solidFill xmlns:a="http://schemas.openxmlformats.org/drawingml/2006/main">
      <a:srgbClr val="151D33"/>
    </a:solidFill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sz="1100" b="1">
                <a:solidFill>
                  <a:srgbClr val="EDF1F7"/>
                </a:solidFill>
                <a:latin typeface="Arial"/>
              </a:rPr>
              <a:t>Valore e versato, ultimi 24 mesi</a:t>
            </a:r>
          </a:p>
        </rich>
      </tx>
      <overlay val="0"/>
    </title>
    <plotArea>
      <lineChart>
        <grouping val="standard"/>
        <ser>
          <idx val="0"/>
          <order val="0"/>
          <tx>
            <v>Valore</v>
          </tx>
          <spPr>
            <a:ln xmlns:a="http://schemas.openxmlformats.org/drawingml/2006/main" w="28575">
              <a:solidFill>
                <a:srgbClr val="6C8CF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C8CFF"/>
              </a:solidFill>
              <a:ln xmlns:a="http://schemas.openxmlformats.org/drawingml/2006/main">
                <a:solidFill>
                  <a:srgbClr val="6C8CFF"/>
                </a:solidFill>
                <a:prstDash val="solid"/>
              </a:ln>
            </spPr>
          </marker>
          <cat>
            <numRef>
              <f>'Calcoli'!$B$205:$B$228</f>
            </numRef>
          </cat>
          <val>
            <numRef>
              <f>'Calcoli'!$D$205:$D$228</f>
            </numRef>
          </val>
          <smooth val="0"/>
        </ser>
        <ser>
          <idx val="1"/>
          <order val="1"/>
          <tx>
            <v>Versato</v>
          </tx>
          <spPr>
            <a:ln xmlns:a="http://schemas.openxmlformats.org/drawingml/2006/main" w="28575">
              <a:solidFill>
                <a:srgbClr val="F5B83D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'Calcoli'!$B$205:$B$228</f>
            </numRef>
          </cat>
          <val>
            <numRef>
              <f>'Calcoli'!$C$205:$C$228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6304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0"/>
        <lblOffset val="100"/>
        <tickLblSkip val="4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26304A"/>
              </a:solidFill>
              <a:prstDash val="solid"/>
            </a:ln>
          </spPr>
        </majorGridlines>
        <numFmt formatCode="#,##0 &quot;€&quot;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B8C1D3"/>
              </a:solidFill>
              <a:latin typeface="Arial"/>
            </a:defRPr>
          </a:pPr>
          <a:r>
            <a:t/>
          </a:r>
          <a:endParaRPr sz="900" b="0">
            <a:solidFill>
              <a:srgbClr val="B8C1D3"/>
            </a:solidFill>
            <a:latin typeface="Arial"/>
          </a:endParaRPr>
        </a:p>
      </txPr>
    </legend>
    <plotVisOnly val="0"/>
    <dispBlanksAs val="gap"/>
  </chart>
  <spPr>
    <a:solidFill xmlns:a="http://schemas.openxmlformats.org/drawingml/2006/main">
      <a:srgbClr val="151D33"/>
    </a:solidFill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sz="1100" b="1">
                <a:solidFill>
                  <a:srgbClr val="EDF1F7"/>
                </a:solidFill>
                <a:latin typeface="Arial"/>
              </a:rPr>
              <a:t>Dividendi mese per mese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'Calcoli'!B265</f>
            </strRef>
          </tx>
          <spPr>
            <a:solidFill xmlns:a="http://schemas.openxmlformats.org/drawingml/2006/main">
              <a:srgbClr val="8590A8"/>
            </a:solidFill>
            <a:ln xmlns:a="http://schemas.openxmlformats.org/drawingml/2006/main">
              <a:noFill/>
              <a:prstDash val="solid"/>
            </a:ln>
          </spPr>
          <cat>
            <numRef>
              <f>'Calcoli'!$A$266:$A$277</f>
            </numRef>
          </cat>
          <val>
            <numRef>
              <f>'Calcoli'!$B$266:$B$277</f>
            </numRef>
          </val>
        </ser>
        <ser>
          <idx val="1"/>
          <order val="1"/>
          <tx>
            <strRef>
              <f>'Calcoli'!C265</f>
            </strRef>
          </tx>
          <spPr>
            <a:solidFill xmlns:a="http://schemas.openxmlformats.org/drawingml/2006/main">
              <a:srgbClr val="6C8CFF"/>
            </a:solidFill>
            <a:ln xmlns:a="http://schemas.openxmlformats.org/drawingml/2006/main">
              <a:noFill/>
              <a:prstDash val="solid"/>
            </a:ln>
          </spPr>
          <cat>
            <numRef>
              <f>'Calcoli'!$A$266:$A$277</f>
            </numRef>
          </cat>
          <val>
            <numRef>
              <f>'Calcoli'!$C$266:$C$277</f>
            </numRef>
          </val>
        </ser>
        <ser>
          <idx val="2"/>
          <order val="2"/>
          <tx>
            <strRef>
              <f>'Calcoli'!D265</f>
            </strRef>
          </tx>
          <spPr>
            <a:solidFill xmlns:a="http://schemas.openxmlformats.org/drawingml/2006/main">
              <a:srgbClr val="F5B83D"/>
            </a:solidFill>
            <a:ln xmlns:a="http://schemas.openxmlformats.org/drawingml/2006/main">
              <a:noFill/>
              <a:prstDash val="solid"/>
            </a:ln>
          </spPr>
          <cat>
            <numRef>
              <f>'Calcoli'!$A$266:$A$277</f>
            </numRef>
          </cat>
          <val>
            <numRef>
              <f>'Calcoli'!$D$266:$D$277</f>
            </numRef>
          </val>
        </ser>
        <gapWidth val="50"/>
        <overlap val="-5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6304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26304A"/>
              </a:solidFill>
              <a:prstDash val="solid"/>
            </a:ln>
          </spPr>
        </majorGridlines>
        <numFmt formatCode="#,##0 &quot;€&quot;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B8C1D3"/>
              </a:solidFill>
              <a:latin typeface="Arial"/>
            </a:defRPr>
          </a:pPr>
          <a:r>
            <a:t/>
          </a:r>
          <a:endParaRPr sz="900" b="0">
            <a:solidFill>
              <a:srgbClr val="B8C1D3"/>
            </a:solidFill>
            <a:latin typeface="Arial"/>
          </a:endParaRPr>
        </a:p>
      </txPr>
    </legend>
    <plotVisOnly val="0"/>
    <dispBlanksAs val="gap"/>
  </chart>
  <spPr>
    <a:solidFill xmlns:a="http://schemas.openxmlformats.org/drawingml/2006/main">
      <a:srgbClr val="151D33"/>
    </a:solidFill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sz="1100" b="1">
                <a:solidFill>
                  <a:srgbClr val="EDF1F7"/>
                </a:solidFill>
                <a:latin typeface="Arial"/>
              </a:rPr>
              <a:t>Dividendi mese per mese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'Calcoli'!B265</f>
            </strRef>
          </tx>
          <spPr>
            <a:solidFill xmlns:a="http://schemas.openxmlformats.org/drawingml/2006/main">
              <a:srgbClr val="8590A8"/>
            </a:solidFill>
            <a:ln xmlns:a="http://schemas.openxmlformats.org/drawingml/2006/main">
              <a:noFill/>
              <a:prstDash val="solid"/>
            </a:ln>
          </spPr>
          <cat>
            <numRef>
              <f>'Calcoli'!$A$266:$A$277</f>
            </numRef>
          </cat>
          <val>
            <numRef>
              <f>'Calcoli'!$B$266:$B$277</f>
            </numRef>
          </val>
        </ser>
        <ser>
          <idx val="1"/>
          <order val="1"/>
          <tx>
            <strRef>
              <f>'Calcoli'!C265</f>
            </strRef>
          </tx>
          <spPr>
            <a:solidFill xmlns:a="http://schemas.openxmlformats.org/drawingml/2006/main">
              <a:srgbClr val="6C8CFF"/>
            </a:solidFill>
            <a:ln xmlns:a="http://schemas.openxmlformats.org/drawingml/2006/main">
              <a:noFill/>
              <a:prstDash val="solid"/>
            </a:ln>
          </spPr>
          <cat>
            <numRef>
              <f>'Calcoli'!$A$266:$A$277</f>
            </numRef>
          </cat>
          <val>
            <numRef>
              <f>'Calcoli'!$C$266:$C$277</f>
            </numRef>
          </val>
        </ser>
        <ser>
          <idx val="2"/>
          <order val="2"/>
          <tx>
            <strRef>
              <f>'Calcoli'!D265</f>
            </strRef>
          </tx>
          <spPr>
            <a:solidFill xmlns:a="http://schemas.openxmlformats.org/drawingml/2006/main">
              <a:srgbClr val="F5B83D"/>
            </a:solidFill>
            <a:ln xmlns:a="http://schemas.openxmlformats.org/drawingml/2006/main">
              <a:noFill/>
              <a:prstDash val="solid"/>
            </a:ln>
          </spPr>
          <cat>
            <numRef>
              <f>'Calcoli'!$A$266:$A$277</f>
            </numRef>
          </cat>
          <val>
            <numRef>
              <f>'Calcoli'!$D$266:$D$277</f>
            </numRef>
          </val>
        </ser>
        <gapWidth val="60"/>
        <overlap val="-5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6304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26304A"/>
              </a:solidFill>
              <a:prstDash val="solid"/>
            </a:ln>
          </spPr>
        </majorGridlines>
        <numFmt formatCode="#,##0 &quot;€&quot;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B8C1D3"/>
              </a:solidFill>
              <a:latin typeface="Arial"/>
            </a:defRPr>
          </a:pPr>
          <a:r>
            <a:t/>
          </a:r>
          <a:endParaRPr sz="900" b="0">
            <a:solidFill>
              <a:srgbClr val="B8C1D3"/>
            </a:solidFill>
            <a:latin typeface="Arial"/>
          </a:endParaRPr>
        </a:p>
      </txPr>
    </legend>
    <plotVisOnly val="0"/>
    <dispBlanksAs val="gap"/>
  </chart>
  <spPr>
    <a:solidFill xmlns:a="http://schemas.openxmlformats.org/drawingml/2006/main">
      <a:srgbClr val="151D33"/>
    </a:solidFill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sz="1100" b="1">
                <a:solidFill>
                  <a:srgbClr val="EDF1F7"/>
                </a:solidFill>
                <a:latin typeface="Arial"/>
              </a:rPr>
              <a:t>Dividendi degli ultimi 12 mesi</a:t>
            </a:r>
          </a:p>
        </rich>
      </tx>
      <overlay val="0"/>
    </title>
    <plotArea>
      <lineChart>
        <grouping val="standard"/>
        <ser>
          <idx val="0"/>
          <order val="0"/>
          <tx>
            <v>Ultimi 12 mesi</v>
          </tx>
          <spPr>
            <a:ln xmlns:a="http://schemas.openxmlformats.org/drawingml/2006/main" w="28575">
              <a:solidFill>
                <a:srgbClr val="34D399"/>
              </a:solidFill>
              <a:prstDash val="solid"/>
            </a:ln>
          </spPr>
          <marker>
            <symbol val="circle"/>
            <size val="4"/>
            <spPr>
              <a:solidFill xmlns:a="http://schemas.openxmlformats.org/drawingml/2006/main">
                <a:srgbClr val="34D399"/>
              </a:solidFill>
              <a:ln xmlns:a="http://schemas.openxmlformats.org/drawingml/2006/main">
                <a:solidFill>
                  <a:srgbClr val="34D399"/>
                </a:solidFill>
                <a:prstDash val="solid"/>
              </a:ln>
            </spPr>
          </marker>
          <cat>
            <numRef>
              <f>'Calcoli'!$B$281:$B$304</f>
            </numRef>
          </cat>
          <val>
            <numRef>
              <f>'Calcoli'!$C$281:$C$304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6304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0"/>
        <lblOffset val="100"/>
        <tickLblSkip val="4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26304A"/>
              </a:solidFill>
              <a:prstDash val="solid"/>
            </a:ln>
          </spPr>
        </majorGridlines>
        <numFmt formatCode="#,##0 &quot;€&quot;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0"/>
    <dispBlanksAs val="gap"/>
  </chart>
  <spPr>
    <a:solidFill xmlns:a="http://schemas.openxmlformats.org/drawingml/2006/main">
      <a:srgbClr val="151D33"/>
    </a:solidFill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Relationship Type="http://schemas.openxmlformats.org/officeDocument/2006/relationships/chart" Target="/xl/charts/chart5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419475" cy="42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28</row>
      <rowOff>0</rowOff>
    </from>
    <ext cx="4114800" cy="426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28</row>
      <rowOff>0</rowOff>
    </from>
    <ext cx="4114800" cy="426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13</row>
      <rowOff>0</rowOff>
    </from>
    <ext cx="5257799" cy="44704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13</row>
      <rowOff>0</rowOff>
    </from>
    <ext cx="3524250" cy="44704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ondofinanziario.com/strumenti/simulatore-pac" TargetMode="External" Id="rId1"/><Relationship Type="http://schemas.openxmlformats.org/officeDocument/2006/relationships/hyperlink" Target="https://mondofinanziario.com/strumenti/tasse-etf" TargetMode="External" Id="rId2"/><Relationship Type="http://schemas.openxmlformats.org/officeDocument/2006/relationships/hyperlink" Target="https://mondofinanziario.com/corsi/educazione-finanziaria/piano-di-investimento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mondofinanziario.com/strumenti/tasse-etf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F5B83D"/>
    <outlinePr summaryBelow="1" summaryRight="1"/>
    <pageSetUpPr fitToPage="1"/>
  </sheetPr>
  <dimension ref="A1:K5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34" customWidth="1" min="3" max="3"/>
    <col width="4" customWidth="1" min="4" max="4"/>
    <col width="34" customWidth="1" min="5" max="5"/>
    <col width="4" customWidth="1" min="6" max="6"/>
    <col width="34" customWidth="1" min="7" max="7"/>
    <col width="3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4" customHeight="1">
      <c r="A2" s="1" t="n"/>
      <c r="B2" s="2" t="inlineStr">
        <is>
          <t>◔  PORTAFOGLIO ETF E RIBILANCIAMENTO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1" t="n"/>
      <c r="B3" s="3" t="inlineStr">
        <is>
          <t>Il template gratuito di Mondo Finanziario · mondofinanziario.com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</row>
    <row r="5">
      <c r="A5" s="1" t="n"/>
      <c r="B5" s="4" t="inlineStr">
        <is>
          <t>COME SI USA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22" customHeight="1">
      <c r="A6" s="1" t="n"/>
      <c r="B6" s="5" t="inlineStr">
        <is>
          <t>1</t>
        </is>
      </c>
      <c r="C6" s="6" t="inlineStr">
        <is>
          <t>Elenca i tuoi ETF</t>
        </is>
      </c>
      <c r="H6" s="1" t="n"/>
      <c r="I6" s="1" t="n"/>
      <c r="J6" s="1" t="n"/>
      <c r="K6" s="1" t="n"/>
    </row>
    <row r="7" ht="47" customHeight="1">
      <c r="A7" s="1" t="n"/>
      <c r="B7" s="1" t="n"/>
      <c r="C7" s="7" t="inlineStr">
        <is>
          <t>Nel foglio «ETF» scrivi prezzo di oggi, TER e pesi obiettivo: per ETF, oppure per classe (per esempio 20% di obbligazioni) scegliendo «Per classe» in Impostazioni. Se non vuoi registrare lo storico, aggiungi quote e prezzo medio di partenza.</t>
        </is>
      </c>
      <c r="H7" s="1" t="n"/>
      <c r="I7" s="1" t="n"/>
      <c r="J7" s="1" t="n"/>
      <c r="K7" s="1" t="n"/>
    </row>
    <row r="8" ht="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</row>
    <row r="9" ht="22" customHeight="1">
      <c r="A9" s="1" t="n"/>
      <c r="B9" s="5" t="inlineStr">
        <is>
          <t>2</t>
        </is>
      </c>
      <c r="C9" s="6" t="inlineStr">
        <is>
          <t>Registra i movimenti</t>
        </is>
      </c>
      <c r="H9" s="1" t="n"/>
      <c r="I9" s="1" t="n"/>
      <c r="J9" s="1" t="n"/>
      <c r="K9" s="1" t="n"/>
    </row>
    <row r="10" ht="32" customHeight="1">
      <c r="A10" s="1" t="n"/>
      <c r="B10" s="1" t="n"/>
      <c r="C10" s="7" t="inlineStr">
        <is>
          <t>Nel foglio «Movimenti» scrivi acquisti, vendite e dividendi, in ordine di data. Quote, prezzo medio, tasse e guadagni si calcolano da soli; i dividendi finiscono anche nella pagina «Dividendi», mese per mese.</t>
        </is>
      </c>
      <c r="H10" s="1" t="n"/>
      <c r="I10" s="1" t="n"/>
      <c r="J10" s="1" t="n"/>
      <c r="K10" s="1" t="n"/>
    </row>
    <row r="11" ht="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</row>
    <row r="12" ht="22" customHeight="1">
      <c r="A12" s="1" t="n"/>
      <c r="B12" s="5" t="inlineStr">
        <is>
          <t>3</t>
        </is>
      </c>
      <c r="C12" s="6" t="inlineStr">
        <is>
          <t>Aggiorna i prezzi</t>
        </is>
      </c>
      <c r="H12" s="1" t="n"/>
      <c r="I12" s="1" t="n"/>
      <c r="J12" s="1" t="n"/>
      <c r="K12" s="1" t="n"/>
    </row>
    <row r="13" ht="47" customHeight="1">
      <c r="A13" s="1" t="n"/>
      <c r="B13" s="1" t="n"/>
      <c r="C13" s="7" t="inlineStr">
        <is>
          <t>I prezzi non si aggiornano da soli: quando vuoi rivedere il portafoglio, scrivi i prezzi di oggi nel foglio «ETF» e cambia la data in «Impostazioni» (se la lasci vuota, vale la data di oggi). Se vuoi, una volta al mese scrivi il valore nello «Storico».</t>
        </is>
      </c>
      <c r="H13" s="1" t="n"/>
      <c r="I13" s="1" t="n"/>
      <c r="J13" s="1" t="n"/>
      <c r="K13" s="1" t="n"/>
    </row>
    <row r="14" ht="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</row>
    <row r="15" ht="22" customHeight="1">
      <c r="A15" s="1" t="n"/>
      <c r="B15" s="5" t="inlineStr">
        <is>
          <t>4</t>
        </is>
      </c>
      <c r="C15" s="6" t="inlineStr">
        <is>
          <t>Prima di ogni versamento</t>
        </is>
      </c>
      <c r="H15" s="1" t="n"/>
      <c r="I15" s="1" t="n"/>
      <c r="J15" s="1" t="n"/>
      <c r="K15" s="1" t="n"/>
    </row>
    <row r="16" ht="32" customHeight="1">
      <c r="A16" s="1" t="n"/>
      <c r="B16" s="1" t="n"/>
      <c r="C16" s="7" t="inlineStr">
        <is>
          <t>Apri «Ribilanciamento» e scrivi quanto vuoi investire: trovi quanto comprare di ogni ETF per tornare verso i pesi obiettivo senza vendere.</t>
        </is>
      </c>
      <c r="H16" s="1" t="n"/>
      <c r="I16" s="1" t="n"/>
      <c r="J16" s="1" t="n"/>
      <c r="K16" s="1" t="n"/>
    </row>
    <row r="17" ht="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</row>
    <row r="19">
      <c r="A19" s="1" t="n"/>
      <c r="B19" s="4" t="inlineStr">
        <is>
          <t>VAI A</t>
        </is>
      </c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</row>
    <row r="20" ht="28" customHeight="1">
      <c r="A20" s="1" t="n"/>
      <c r="B20" s="1" t="n"/>
      <c r="C20" s="8" t="inlineStr">
        <is>
          <t xml:space="preserve">  📊   Riepilogo</t>
        </is>
      </c>
      <c r="D20" s="1" t="n"/>
      <c r="E20" s="8" t="inlineStr">
        <is>
          <t xml:space="preserve">  ⚖   Ribilanciamento</t>
        </is>
      </c>
      <c r="F20" s="1" t="n"/>
      <c r="G20" s="8" t="inlineStr">
        <is>
          <t xml:space="preserve">  💶   Dividendi</t>
        </is>
      </c>
      <c r="H20" s="1" t="n"/>
      <c r="I20" s="1" t="n"/>
      <c r="J20" s="1" t="n"/>
      <c r="K20" s="1" t="n"/>
    </row>
    <row r="21" ht="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</row>
    <row r="22" ht="28" customHeight="1">
      <c r="A22" s="1" t="n"/>
      <c r="B22" s="1" t="n"/>
      <c r="C22" s="8" t="inlineStr">
        <is>
          <t xml:space="preserve">  ▸   ETF</t>
        </is>
      </c>
      <c r="D22" s="1" t="n"/>
      <c r="E22" s="8" t="inlineStr">
        <is>
          <t xml:space="preserve">  ✎   Movimenti</t>
        </is>
      </c>
      <c r="F22" s="1" t="n"/>
      <c r="G22" s="8" t="inlineStr">
        <is>
          <t xml:space="preserve">  ▸   Storico</t>
        </is>
      </c>
      <c r="H22" s="1" t="n"/>
      <c r="I22" s="1" t="n"/>
      <c r="J22" s="1" t="n"/>
      <c r="K22" s="1" t="n"/>
    </row>
    <row r="23" ht="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</row>
    <row r="24" ht="28" customHeight="1">
      <c r="A24" s="1" t="n"/>
      <c r="B24" s="1" t="n"/>
      <c r="C24" s="8" t="inlineStr">
        <is>
          <t xml:space="preserve">  ⚙   Impostazioni</t>
        </is>
      </c>
      <c r="D24" s="1" t="n"/>
      <c r="E24" s="1" t="n"/>
      <c r="F24" s="1" t="n"/>
      <c r="G24" s="1" t="n"/>
      <c r="H24" s="1" t="n"/>
      <c r="I24" s="1" t="n"/>
      <c r="J24" s="1" t="n"/>
      <c r="K24" s="1" t="n"/>
    </row>
    <row r="25" ht="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</row>
    <row r="27">
      <c r="A27" s="1" t="n"/>
      <c r="B27" s="4" t="inlineStr">
        <is>
          <t>DA SAPERE</t>
        </is>
      </c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</row>
    <row r="28" ht="30" customHeight="1">
      <c r="A28" s="1" t="n"/>
      <c r="B28" s="1" t="n"/>
      <c r="C28" s="9" t="inlineStr">
        <is>
          <t>•  Le celle gialle sono le uniche da compilare, in tutti i fogli: tutto il resto si calcola da solo.</t>
        </is>
      </c>
      <c r="H28" s="1" t="n"/>
      <c r="I28" s="1" t="n"/>
      <c r="J28" s="1" t="n"/>
      <c r="K28" s="1" t="n"/>
    </row>
    <row r="29" ht="32" customHeight="1">
      <c r="A29" s="1" t="n"/>
      <c r="B29" s="1" t="n"/>
      <c r="C29" s="9" t="inlineStr">
        <is>
          <t>•  Il portafoglio di Elena è un esempio inventato, con ETF generici: non è un consiglio. Cancella i dati nelle celle gialle dei fogli ETF, Movimenti e Storico prima di iniziare.</t>
        </is>
      </c>
      <c r="H29" s="1" t="n"/>
      <c r="I29" s="1" t="n"/>
      <c r="J29" s="1" t="n"/>
      <c r="K29" s="1" t="n"/>
    </row>
    <row r="30" ht="32" customHeight="1">
      <c r="A30" s="1" t="n"/>
      <c r="B30" s="1" t="n"/>
      <c r="C30" s="9" t="inlineStr">
        <is>
          <t>•  Il prezzo medio di carico si calcola come fa la banca, con il costo medio ponderato: per questo i movimenti vanno scritti in ordine di data.</t>
        </is>
      </c>
      <c r="H30" s="1" t="n"/>
      <c r="I30" s="1" t="n"/>
      <c r="J30" s="1" t="n"/>
      <c r="K30" s="1" t="n"/>
    </row>
    <row r="31" ht="62" customHeight="1">
      <c r="A31" s="1" t="n"/>
      <c r="B31" s="1" t="n"/>
      <c r="C31" s="9" t="inlineStr">
        <is>
          <t>•  Prezzi: il template non li scarica da internet. Se vuoi che si aggiornino da soli, l’acquisizione automatica è a cura tua: nella cella gialla del prezzo puoi scrivere una formula, per esempio =GOOGLEFINANCE("BIT:VWCE") in Google Sheets o un campo del tipo di dati «Azioni» in Excel 365. Controlla che il prezzo sia in euro e della borsa giusta; se la formula non trova il prezzo, il Riepilogo te lo segnala.</t>
        </is>
      </c>
      <c r="H31" s="1" t="n"/>
      <c r="I31" s="1" t="n"/>
      <c r="J31" s="1" t="n"/>
      <c r="K31" s="1" t="n"/>
    </row>
    <row r="32" ht="47" customHeight="1">
      <c r="A32" s="1" t="n"/>
      <c r="B32" s="1" t="n"/>
      <c r="C32" s="9" t="inlineStr">
        <is>
          <t>•  Tasse: 26% sui guadagni, meno per gli ETF di titoli di Stato. Le perdite di un ETF non si compensano con i guadagni di altri ETF, ma solo con quelli di azioni, ETC e certificati, entro 4 anni. Ogni anno c’è anche l’imposta di bollo dello 0,20%.</t>
        </is>
      </c>
      <c r="H32" s="1" t="n"/>
      <c r="I32" s="1" t="n"/>
      <c r="J32" s="1" t="n"/>
      <c r="K32" s="1" t="n"/>
    </row>
    <row r="33" ht="32" customHeight="1">
      <c r="A33" s="1" t="n"/>
      <c r="B33" s="1" t="n"/>
      <c r="C33" s="9" t="inlineStr">
        <is>
          <t>•  Il rendimento annuo è quello dei tuoi soldi (tasso interno di rendimento): tiene conto di quando hai versato e di quando hai incassato.</t>
        </is>
      </c>
      <c r="H33" s="1" t="n"/>
      <c r="I33" s="1" t="n"/>
      <c r="J33" s="1" t="n"/>
      <c r="K33" s="1" t="n"/>
    </row>
    <row r="34" ht="32" customHeight="1">
      <c r="A34" s="1" t="n"/>
      <c r="B34" s="1" t="n"/>
      <c r="C34" s="9" t="inlineStr">
        <is>
          <t>•  Funziona con Excel e con Google Sheets, senza macro. È uno strumento per organizzarti, non una consulenza finanziaria.</t>
        </is>
      </c>
      <c r="H34" s="1" t="n"/>
      <c r="I34" s="1" t="n"/>
      <c r="J34" s="1" t="n"/>
      <c r="K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</row>
    <row r="36">
      <c r="A36" s="1" t="n"/>
      <c r="B36" s="1" t="n"/>
      <c r="C36" s="10" t="inlineStr">
        <is>
          <t>Simula un piano di accumulo (PAC)</t>
        </is>
      </c>
      <c r="D36" s="1" t="n"/>
      <c r="E36" s="1" t="n"/>
      <c r="F36" s="1" t="n"/>
      <c r="G36" s="1" t="n"/>
      <c r="H36" s="1" t="n"/>
      <c r="I36" s="1" t="n"/>
      <c r="J36" s="1" t="n"/>
      <c r="K36" s="1" t="n"/>
    </row>
    <row r="37">
      <c r="A37" s="1" t="n"/>
      <c r="B37" s="1" t="n"/>
      <c r="C37" s="10" t="inlineStr">
        <is>
          <t>Calcola le tasse sugli ETF</t>
        </is>
      </c>
      <c r="D37" s="1" t="n"/>
      <c r="E37" s="1" t="n"/>
      <c r="F37" s="1" t="n"/>
      <c r="G37" s="1" t="n"/>
      <c r="H37" s="1" t="n"/>
      <c r="I37" s="1" t="n"/>
      <c r="J37" s="1" t="n"/>
      <c r="K37" s="1" t="n"/>
    </row>
    <row r="38">
      <c r="A38" s="1" t="n"/>
      <c r="B38" s="1" t="n"/>
      <c r="C38" s="10" t="inlineStr">
        <is>
          <t>La lezione sul piano di investimento del corso gratuito</t>
        </is>
      </c>
      <c r="D38" s="1" t="n"/>
      <c r="E38" s="1" t="n"/>
      <c r="F38" s="1" t="n"/>
      <c r="G38" s="1" t="n"/>
      <c r="H38" s="1" t="n"/>
      <c r="I38" s="1" t="n"/>
      <c r="J38" s="1" t="n"/>
      <c r="K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</row>
    <row r="40">
      <c r="A40" s="1" t="n"/>
      <c r="B40" s="1" t="n"/>
      <c r="C40" s="1" t="n"/>
      <c r="D40" s="1" t="n"/>
      <c r="E40" s="1" t="n"/>
      <c r="F40" s="1" t="n"/>
      <c r="G40" s="11" t="inlineStr">
        <is>
          <t>🤝 Valentino</t>
        </is>
      </c>
      <c r="H40" s="1" t="n"/>
      <c r="I40" s="1" t="n"/>
      <c r="J40" s="1" t="n"/>
      <c r="K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</row>
  </sheetData>
  <mergeCells count="15">
    <mergeCell ref="C29:G29"/>
    <mergeCell ref="C7:G7"/>
    <mergeCell ref="C30:G30"/>
    <mergeCell ref="C34:G34"/>
    <mergeCell ref="C12:G12"/>
    <mergeCell ref="C6:G6"/>
    <mergeCell ref="C10:G10"/>
    <mergeCell ref="C16:G16"/>
    <mergeCell ref="C32:G32"/>
    <mergeCell ref="C15:G15"/>
    <mergeCell ref="C33:G33"/>
    <mergeCell ref="C28:G28"/>
    <mergeCell ref="C31:G31"/>
    <mergeCell ref="C13:G13"/>
    <mergeCell ref="C9:G9"/>
  </mergeCells>
  <hyperlinks>
    <hyperlink ref="C20" location="'Riepilogo'!A1" display="  📊   Riepilogo"/>
    <hyperlink ref="E20" location="'Ribilanciamento'!A1" display="  ⚖   Ribilanciamento"/>
    <hyperlink ref="G20" location="'Dividendi'!A1" display="  💶   Dividendi"/>
    <hyperlink ref="C22" location="'ETF'!A1" display="  ▸   ETF"/>
    <hyperlink ref="E22" location="'Movimenti'!A1" display="  ✎   Movimenti"/>
    <hyperlink ref="G22" location="'Storico'!A1" display="  ▸   Storico"/>
    <hyperlink ref="C24" location="'Impostazioni'!A1" display="  ⚙   Impostazioni"/>
    <hyperlink xmlns:r="http://schemas.openxmlformats.org/officeDocument/2006/relationships" ref="C36" r:id="rId1"/>
    <hyperlink xmlns:r="http://schemas.openxmlformats.org/officeDocument/2006/relationships" ref="C37" r:id="rId2"/>
    <hyperlink xmlns:r="http://schemas.openxmlformats.org/officeDocument/2006/relationships" ref="C38" r:id="rId3"/>
  </hyperlinks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tabColor rgb="002747B8"/>
    <outlinePr summaryBelow="1" summaryRight="1"/>
    <pageSetUpPr fitToPage="1"/>
  </sheetPr>
  <dimension ref="A1:T8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.5" customWidth="1" min="1" max="1"/>
    <col width="22" customWidth="1" min="2" max="2"/>
    <col width="1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.5" customWidth="1" min="16" max="16"/>
    <col width="12" customWidth="1" min="17" max="17"/>
    <col width="12" customWidth="1" min="18" max="18"/>
    <col width="12" customWidth="1" min="19" max="19"/>
    <col width="1.5" customWidth="1" min="20" max="20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2" t="inlineStr">
        <is>
          <t>◔  PORTAFOGLIO ETF</t>
        </is>
      </c>
      <c r="C2" s="1" t="n"/>
      <c r="D2" s="13" t="inlineStr">
        <is>
          <t>Portafoglio ETF e ribilanciamento</t>
        </is>
      </c>
      <c r="P2" s="1" t="n"/>
      <c r="Q2" s="14" t="str">
        <f>"Prezzi al "&amp;DAY(Calcoli!$B$42)&amp;" "&amp;CHOOSE(MONTH(Calcoli!$B$42),"gen","feb","mar","apr","mag","giu","lug","ago","set","ott","nov","dic")&amp;" "&amp;YEAR(Calcoli!$B$42)</f>
        <v>Prezzi al 20 ott 2026</v>
      </c>
      <c r="T2" s="1" t="n"/>
    </row>
    <row r="3" ht="16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5" t="inlineStr">
        <is>
          <t>aggiorna i prezzi nel foglio ETF</t>
        </is>
      </c>
      <c r="T3" s="1" t="n"/>
    </row>
    <row r="4" ht="26" customHeight="1">
      <c r="A4" s="1" t="n"/>
      <c r="B4" s="16" t="inlineStr">
        <is>
          <t xml:space="preserve">   📊   Riepilogo</t>
        </is>
      </c>
      <c r="C4" s="1" t="n"/>
      <c r="D4" s="17" t="str">
        <f>"Riepilogo  ·  "&amp;Impostazioni!$B$5</f>
        <v>Riepilogo  ·  Il portafoglio di Elena</v>
      </c>
      <c r="P4" s="1" t="n"/>
      <c r="Q4" s="18" t="inlineStr">
        <is>
          <t>RIBILANCIAMENTO</t>
        </is>
      </c>
      <c r="T4" s="1" t="n"/>
    </row>
    <row r="5" ht="18" customHeight="1">
      <c r="A5" s="1" t="n"/>
      <c r="B5" s="19" t="inlineStr">
        <is>
          <t xml:space="preserve">   ⚖   Ribilanciamento</t>
        </is>
      </c>
      <c r="C5" s="1" t="n"/>
      <c r="D5" s="4" t="str">
        <f>Calcoli!$A$243</f>
        <v/>
      </c>
      <c r="P5" s="1" t="n"/>
      <c r="Q5" s="20" t="str">
        <f>IF(Calcoli!$B$43=0,"–",IF(Calcoli!$B$41=0,"✓ In equilibrio",Calcoli!$B$41&amp;" ETF fuori soglia"))</f>
        <v>✓ In equilibrio</v>
      </c>
      <c r="T5" s="1" t="n"/>
    </row>
    <row r="6" ht="18" customHeight="1">
      <c r="A6" s="1" t="n"/>
      <c r="B6" s="19" t="inlineStr">
        <is>
          <t xml:space="preserve">   💶   Dividendi</t>
        </is>
      </c>
      <c r="C6" s="1" t="n"/>
      <c r="D6" s="4" t="str">
        <f>Calcoli!$A$244</f>
        <v/>
      </c>
      <c r="P6" s="1" t="n"/>
      <c r="T6" s="1" t="n"/>
    </row>
    <row r="7" ht="24" customHeight="1">
      <c r="A7" s="1" t="n"/>
      <c r="B7" s="21" t="n"/>
      <c r="C7" s="1" t="n"/>
      <c r="D7" s="22" t="inlineStr">
        <is>
          <t>VALORE DEL PORTAFOGLIO</t>
        </is>
      </c>
      <c r="G7" s="22" t="inlineStr">
        <is>
          <t>GUADAGNO TOTALE</t>
        </is>
      </c>
      <c r="J7" s="22" t="inlineStr">
        <is>
          <t>RENDIMENTO ANNUO</t>
        </is>
      </c>
      <c r="M7" s="22" t="inlineStr">
        <is>
          <t>COSTI ALL’ANNO</t>
        </is>
      </c>
      <c r="P7" s="1" t="n"/>
      <c r="Q7" s="23" t="str">
        <f>"soglia: "&amp;ROUND(Impostazioni!$B$8*100,1)&amp;" punti dal peso obiettivo"</f>
        <v>soglia: 5 punti dal peso obiettivo</v>
      </c>
      <c r="T7" s="1" t="n"/>
    </row>
    <row r="8" ht="24" customHeight="1">
      <c r="A8" s="1" t="n"/>
      <c r="B8" s="24" t="inlineStr">
        <is>
          <t xml:space="preserve">   INSERISCI I DATI</t>
        </is>
      </c>
      <c r="C8" s="1" t="n"/>
      <c r="D8" s="25">
        <f>Calcoli!$B$25</f>
        <v>17074.29</v>
      </c>
      <c r="G8" s="26">
        <f>Calcoli!$B$29</f>
        <v>2473.56</v>
      </c>
      <c r="J8" s="27">
        <f>IF(Calcoli!$B$31="","–",Calcoli!$B$31)</f>
        <v>0.110061483498108</v>
      </c>
      <c r="M8" s="28">
        <f>Calcoli!$B$37</f>
        <v>64.434036</v>
      </c>
      <c r="P8" s="1" t="n"/>
      <c r="Q8" s="21" t="n"/>
      <c r="R8" s="21" t="n"/>
      <c r="S8" s="21" t="n"/>
      <c r="T8" s="1" t="n"/>
    </row>
    <row r="9" ht="24" customHeight="1">
      <c r="A9" s="1" t="n"/>
      <c r="B9" s="29" t="inlineStr">
        <is>
          <t xml:space="preserve">   ▸  ETF</t>
        </is>
      </c>
      <c r="C9" s="1" t="n"/>
      <c r="D9" s="30" t="str">
        <f>"versati "&amp;FIXED(Calcoli!$B$26,0)&amp;" € (al netto delle vendite)"</f>
        <v>versati 14,709 € (al netto delle vendite)</v>
      </c>
      <c r="G9" s="30" t="str">
        <f>IF(Calcoli!$B$30="","",IF(Calcoli!$B$30&gt;=0,"+","")&amp;ROUND(Calcoli!$B$30*100,1)&amp;"% sul comprato · dividendi compresi")</f>
        <v>+16.1% sul comprato · dividendi compresi</v>
      </c>
      <c r="J9" s="30" t="str">
        <f>IF(Calcoli!$B$43=0,"",IF(Calcoli!$B$33&lt;365,"disponibile dopo un anno di investimenti","dei tuoi soldi, all’anno, prima delle tasse sui guadagni"))</f>
        <v>dei tuoi soldi, all’anno, prima delle tasse sui guadagni</v>
      </c>
      <c r="M9" s="30" t="str">
        <f>"TER medio "&amp;ROUND(Calcoli!$B$35*100,2)&amp;"% + bollo "&amp;FIXED(Calcoli!$B$36,0)&amp;" €"</f>
        <v>TER medio 0.18% + bollo 34 €</v>
      </c>
      <c r="P9" s="1" t="n"/>
      <c r="Q9" s="21" t="n"/>
      <c r="R9" s="21" t="n"/>
      <c r="S9" s="21" t="n"/>
      <c r="T9" s="1" t="n"/>
    </row>
    <row r="10">
      <c r="A10" s="1" t="n"/>
      <c r="B10" s="29" t="inlineStr">
        <is>
          <t xml:space="preserve">   ✎  Movimenti</t>
        </is>
      </c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</row>
    <row r="11" ht="20" customHeight="1">
      <c r="A11" s="1" t="n"/>
      <c r="B11" s="29" t="inlineStr">
        <is>
          <t xml:space="preserve">   ▸  Storico</t>
        </is>
      </c>
      <c r="C11" s="1" t="n"/>
      <c r="D11" s="1" t="n"/>
      <c r="E11" s="1" t="n"/>
      <c r="F11" s="1" t="n"/>
      <c r="G11" s="1" t="n"/>
      <c r="H11" s="1" t="n"/>
      <c r="I11" s="6" t="inlineStr">
        <is>
          <t>Pesi: attuale e obiettivo</t>
        </is>
      </c>
      <c r="J11" s="21" t="n"/>
      <c r="K11" s="21" t="n"/>
      <c r="L11" s="21" t="n"/>
      <c r="M11" s="21" t="n"/>
      <c r="N11" s="21" t="n"/>
      <c r="O11" s="21" t="n"/>
      <c r="P11" s="1" t="n"/>
      <c r="Q11" s="24" t="inlineStr">
        <is>
          <t>PROSSIMO VERSAMENTO</t>
        </is>
      </c>
      <c r="S11" s="31">
        <f>Calcoli!$B$48</f>
        <v>400</v>
      </c>
      <c r="T11" s="1" t="n"/>
    </row>
    <row r="12" ht="20" customHeight="1">
      <c r="A12" s="1" t="n"/>
      <c r="B12" s="29" t="inlineStr">
        <is>
          <t xml:space="preserve">   ⚙  Impostazioni</t>
        </is>
      </c>
      <c r="C12" s="1" t="n"/>
      <c r="D12" s="1" t="n"/>
      <c r="E12" s="1" t="n"/>
      <c r="F12" s="1" t="n"/>
      <c r="G12" s="1" t="n"/>
      <c r="H12" s="1" t="n"/>
      <c r="I12" s="24" t="inlineStr">
        <is>
          <t>ETF</t>
        </is>
      </c>
      <c r="L12" s="32" t="inlineStr">
        <is>
          <t>ATTUALE</t>
        </is>
      </c>
      <c r="M12" s="32" t="inlineStr">
        <is>
          <t>OBIETTIVO</t>
        </is>
      </c>
      <c r="N12" s="32" t="inlineStr">
        <is>
          <t>SCOSTAM.</t>
        </is>
      </c>
      <c r="O12" s="18" t="inlineStr">
        <is>
          <t>STATO</t>
        </is>
      </c>
      <c r="P12" s="1" t="n"/>
      <c r="Q12" s="33" t="inlineStr">
        <is>
          <t>Cosa comprare</t>
        </is>
      </c>
      <c r="T12" s="1" t="n"/>
    </row>
    <row r="13" ht="20" customHeight="1">
      <c r="A13" s="1" t="n"/>
      <c r="B13" s="29" t="inlineStr">
        <is>
          <t xml:space="preserve">   ?  Guida</t>
        </is>
      </c>
      <c r="C13" s="1" t="n"/>
      <c r="D13" s="1" t="n"/>
      <c r="E13" s="1" t="n"/>
      <c r="F13" s="1" t="n"/>
      <c r="G13" s="1" t="n"/>
      <c r="H13" s="1" t="n"/>
      <c r="I13" s="34" t="str">
        <f>IF(Calcoli!$C$140="","","●  "&amp;Calcoli!$C$140)</f>
        <v>●  Azionario Mondo</v>
      </c>
      <c r="L13" s="35">
        <f>Calcoli!$E$140</f>
        <v>0.549499862073328</v>
      </c>
      <c r="M13" s="36">
        <f>Calcoli!$F$140</f>
        <v>0.5525</v>
      </c>
      <c r="N13" s="37">
        <f>IF(Calcoli!$C$140="","",Calcoli!$G$140*100)</f>
        <v>-0.30001379266722</v>
      </c>
      <c r="O13" s="38" t="str">
        <f>Calcoli!$H$140</f>
        <v>OK</v>
      </c>
      <c r="P13" s="1" t="n"/>
      <c r="Q13" s="39" t="str">
        <f>IF(Calcoli!$A$157="","",Calcoli!$A$157&amp;"  ·  "&amp;FIXED(Calcoli!$C$157,IF(Ribilanciamento!$G$8="Sì",0,2))&amp;IF(Calcoli!$C$157=1," quota"," quote"))</f>
        <v>Azionario Mondo  ·  2 quote</v>
      </c>
      <c r="S13" s="40">
        <f>Calcoli!$B$157</f>
        <v>226.08</v>
      </c>
      <c r="T13" s="1" t="n"/>
    </row>
    <row r="14" ht="20" customHeight="1">
      <c r="A14" s="1" t="n"/>
      <c r="B14" s="21" t="n"/>
      <c r="C14" s="1" t="n"/>
      <c r="D14" s="1" t="n"/>
      <c r="E14" s="1" t="n"/>
      <c r="F14" s="1" t="n"/>
      <c r="G14" s="1" t="n"/>
      <c r="H14" s="1" t="n"/>
      <c r="I14" s="41" t="str">
        <f>IF(Calcoli!$C$141="","","●  "&amp;Calcoli!$C$141)</f>
        <v>●  Azionario Emergenti</v>
      </c>
      <c r="L14" s="35">
        <f>Calcoli!$E$141</f>
        <v>0.0977024520492507</v>
      </c>
      <c r="M14" s="36">
        <f>Calcoli!$F$141</f>
        <v>0.0975</v>
      </c>
      <c r="N14" s="37">
        <f>IF(Calcoli!$C$141="","",Calcoli!$G$141*100)</f>
        <v>0.0202452049250651</v>
      </c>
      <c r="O14" s="38" t="str">
        <f>Calcoli!$H$141</f>
        <v>OK</v>
      </c>
      <c r="P14" s="1" t="n"/>
      <c r="Q14" s="39" t="str">
        <f>IF(Calcoli!$A$158="","",Calcoli!$A$158&amp;"  ·  "&amp;FIXED(Calcoli!$C$158,IF(Ribilanciamento!$G$8="Sì",0,2))&amp;IF(Calcoli!$C$158=1," quota"," quote"))</f>
        <v>Azionario Emergenti  ·  1 quota</v>
      </c>
      <c r="S14" s="40">
        <f>Calcoli!$B$158</f>
        <v>43.9</v>
      </c>
      <c r="T14" s="1" t="n"/>
    </row>
    <row r="15" ht="20" customHeight="1">
      <c r="A15" s="1" t="n"/>
      <c r="B15" s="21" t="n"/>
      <c r="C15" s="1" t="n"/>
      <c r="D15" s="1" t="n"/>
      <c r="E15" s="1" t="n"/>
      <c r="F15" s="1" t="n"/>
      <c r="G15" s="1" t="n"/>
      <c r="H15" s="1" t="n"/>
      <c r="I15" s="42" t="str">
        <f>IF(Calcoli!$C$142="","","●  "&amp;Calcoli!$C$142)</f>
        <v>●  Titoli di Stato Euro</v>
      </c>
      <c r="L15" s="35">
        <f>Calcoli!$E$142</f>
        <v>0.25174926746588</v>
      </c>
      <c r="M15" s="36">
        <f>Calcoli!$F$142</f>
        <v>0.25</v>
      </c>
      <c r="N15" s="37">
        <f>IF(Calcoli!$C$142="","",Calcoli!$G$142*100)</f>
        <v>0.174926746588</v>
      </c>
      <c r="O15" s="38" t="str">
        <f>Calcoli!$H$142</f>
        <v>OK</v>
      </c>
      <c r="P15" s="1" t="n"/>
      <c r="Q15" s="39" t="str">
        <f>IF(Calcoli!$A$159="","",Calcoli!$A$159&amp;"  ·  "&amp;FIXED(Calcoli!$C$159,IF(Ribilanciamento!$G$8="Sì",0,2))&amp;IF(Calcoli!$C$159=1," quota"," quote"))</f>
        <v>Titoli di Stato Euro  ·  1 quota</v>
      </c>
      <c r="S15" s="40">
        <f>Calcoli!$B$159</f>
        <v>104.84</v>
      </c>
      <c r="T15" s="1" t="n"/>
    </row>
    <row r="16" ht="20" customHeight="1">
      <c r="A16" s="1" t="n"/>
      <c r="B16" s="21" t="n"/>
      <c r="C16" s="1" t="n"/>
      <c r="D16" s="1" t="n"/>
      <c r="E16" s="1" t="n"/>
      <c r="F16" s="1" t="n"/>
      <c r="G16" s="1" t="n"/>
      <c r="H16" s="1" t="n"/>
      <c r="I16" s="43" t="str">
        <f>IF(Calcoli!$C$143="","","●  "&amp;Calcoli!$C$143)</f>
        <v>●  Oro</v>
      </c>
      <c r="L16" s="35">
        <f>Calcoli!$E$143</f>
        <v>0.101048418411542</v>
      </c>
      <c r="M16" s="36">
        <f>Calcoli!$F$143</f>
        <v>0.1</v>
      </c>
      <c r="N16" s="37">
        <f>IF(Calcoli!$C$143="","",Calcoli!$G$143*100)</f>
        <v>0.104841841154155</v>
      </c>
      <c r="O16" s="38" t="str">
        <f>Calcoli!$H$143</f>
        <v>OK</v>
      </c>
      <c r="P16" s="1" t="n"/>
      <c r="Q16" s="39" t="str">
        <f>IF(Calcoli!$A$160="","",Calcoli!$A$160&amp;"  ·  "&amp;FIXED(Calcoli!$C$160,IF(Ribilanciamento!$G$8="Sì",0,2))&amp;IF(Calcoli!$C$160=1," quota"," quote"))</f>
        <v/>
      </c>
      <c r="S16" s="40" t="str">
        <f>Calcoli!$B$160</f>
        <v/>
      </c>
      <c r="T16" s="1" t="n"/>
    </row>
    <row r="17" ht="20" customHeight="1">
      <c r="A17" s="1" t="n"/>
      <c r="B17" s="21" t="n"/>
      <c r="C17" s="1" t="n"/>
      <c r="D17" s="1" t="n"/>
      <c r="E17" s="1" t="n"/>
      <c r="F17" s="1" t="n"/>
      <c r="G17" s="1" t="n"/>
      <c r="H17" s="1" t="n"/>
      <c r="I17" s="44" t="str">
        <f>IF(Calcoli!$C$144="","","●  "&amp;Calcoli!$C$144)</f>
        <v/>
      </c>
      <c r="L17" s="35" t="str">
        <f>Calcoli!$E$144</f>
        <v/>
      </c>
      <c r="M17" s="36" t="str">
        <f>Calcoli!$F$144</f>
        <v/>
      </c>
      <c r="N17" s="37" t="str">
        <f>IF(Calcoli!$C$144="","",Calcoli!$G$144*100)</f>
        <v/>
      </c>
      <c r="O17" s="38" t="str">
        <f>Calcoli!$H$144</f>
        <v/>
      </c>
      <c r="P17" s="1" t="n"/>
      <c r="Q17" s="39" t="str">
        <f>IF(Calcoli!$A$161="","",Calcoli!$A$161&amp;"  ·  "&amp;FIXED(Calcoli!$C$161,IF(Ribilanciamento!$G$8="Sì",0,2))&amp;IF(Calcoli!$C$161=1," quota"," quote"))</f>
        <v/>
      </c>
      <c r="S17" s="40" t="str">
        <f>Calcoli!$B$161</f>
        <v/>
      </c>
      <c r="T17" s="1" t="n"/>
    </row>
    <row r="18" ht="20" customHeight="1">
      <c r="A18" s="1" t="n"/>
      <c r="B18" s="21" t="n"/>
      <c r="C18" s="1" t="n"/>
      <c r="D18" s="1" t="n"/>
      <c r="E18" s="1" t="n"/>
      <c r="F18" s="1" t="n"/>
      <c r="G18" s="1" t="n"/>
      <c r="H18" s="1" t="n"/>
      <c r="I18" s="45" t="str">
        <f>IF(Calcoli!$C$145="","","●  "&amp;Calcoli!$C$145)</f>
        <v/>
      </c>
      <c r="L18" s="35" t="str">
        <f>Calcoli!$E$145</f>
        <v/>
      </c>
      <c r="M18" s="36" t="str">
        <f>Calcoli!$F$145</f>
        <v/>
      </c>
      <c r="N18" s="37" t="str">
        <f>IF(Calcoli!$C$145="","",Calcoli!$G$145*100)</f>
        <v/>
      </c>
      <c r="O18" s="38" t="str">
        <f>Calcoli!$H$145</f>
        <v/>
      </c>
      <c r="P18" s="1" t="n"/>
      <c r="Q18" s="39" t="str">
        <f>IF(Calcoli!$A$162="","",Calcoli!$A$162&amp;"  ·  "&amp;FIXED(Calcoli!$C$162,IF(Ribilanciamento!$G$8="Sì",0,2))&amp;IF(Calcoli!$C$162=1," quota"," quote"))</f>
        <v/>
      </c>
      <c r="S18" s="40" t="str">
        <f>Calcoli!$B$162</f>
        <v/>
      </c>
      <c r="T18" s="1" t="n"/>
    </row>
    <row r="19" ht="20" customHeight="1">
      <c r="A19" s="1" t="n"/>
      <c r="B19" s="21" t="n"/>
      <c r="C19" s="1" t="n"/>
      <c r="D19" s="1" t="n"/>
      <c r="E19" s="1" t="n"/>
      <c r="F19" s="1" t="n"/>
      <c r="G19" s="1" t="n"/>
      <c r="H19" s="1" t="n"/>
      <c r="I19" s="46" t="str">
        <f>IF(Calcoli!$C$146="","","●  "&amp;Calcoli!$C$146)</f>
        <v/>
      </c>
      <c r="L19" s="35" t="str">
        <f>Calcoli!$E$146</f>
        <v/>
      </c>
      <c r="M19" s="36" t="str">
        <f>Calcoli!$F$146</f>
        <v/>
      </c>
      <c r="N19" s="37" t="str">
        <f>IF(Calcoli!$C$146="","",Calcoli!$G$146*100)</f>
        <v/>
      </c>
      <c r="O19" s="38" t="str">
        <f>Calcoli!$H$146</f>
        <v/>
      </c>
      <c r="P19" s="1" t="n"/>
      <c r="Q19" s="39" t="str">
        <f>IF(Calcoli!$A$163="","",Calcoli!$A$163&amp;"  ·  "&amp;FIXED(Calcoli!$C$163,IF(Ribilanciamento!$G$8="Sì",0,2))&amp;IF(Calcoli!$C$163=1," quota"," quote"))</f>
        <v/>
      </c>
      <c r="S19" s="40" t="str">
        <f>Calcoli!$B$163</f>
        <v/>
      </c>
      <c r="T19" s="1" t="n"/>
    </row>
    <row r="20" ht="20" customHeight="1">
      <c r="A20" s="1" t="n"/>
      <c r="B20" s="21" t="n"/>
      <c r="C20" s="1" t="n"/>
      <c r="D20" s="1" t="n"/>
      <c r="E20" s="1" t="n"/>
      <c r="F20" s="1" t="n"/>
      <c r="G20" s="1" t="n"/>
      <c r="H20" s="1" t="n"/>
      <c r="I20" s="47" t="str">
        <f>IF(Calcoli!$C$147="","","●  "&amp;Calcoli!$C$147)</f>
        <v/>
      </c>
      <c r="L20" s="35" t="str">
        <f>Calcoli!$E$147</f>
        <v/>
      </c>
      <c r="M20" s="36" t="str">
        <f>Calcoli!$F$147</f>
        <v/>
      </c>
      <c r="N20" s="37" t="str">
        <f>IF(Calcoli!$C$147="","",Calcoli!$G$147*100)</f>
        <v/>
      </c>
      <c r="O20" s="38" t="str">
        <f>Calcoli!$H$147</f>
        <v/>
      </c>
      <c r="P20" s="1" t="n"/>
      <c r="Q20" s="39" t="str">
        <f>IF(Calcoli!$A$164="","",Calcoli!$A$164&amp;"  ·  "&amp;FIXED(Calcoli!$C$164,IF(Ribilanciamento!$G$8="Sì",0,2))&amp;IF(Calcoli!$C$164=1," quota"," quote"))</f>
        <v/>
      </c>
      <c r="S20" s="40" t="str">
        <f>Calcoli!$B$164</f>
        <v/>
      </c>
      <c r="T20" s="1" t="n"/>
    </row>
    <row r="21" ht="20" customHeight="1">
      <c r="A21" s="1" t="n"/>
      <c r="B21" s="21" t="n"/>
      <c r="C21" s="1" t="n"/>
      <c r="D21" s="1" t="n"/>
      <c r="E21" s="1" t="n"/>
      <c r="F21" s="1" t="n"/>
      <c r="G21" s="1" t="n"/>
      <c r="H21" s="1" t="n"/>
      <c r="I21" s="48" t="str">
        <f>IF(Calcoli!$C$148="","","●  "&amp;Calcoli!$C$148)</f>
        <v/>
      </c>
      <c r="L21" s="35" t="str">
        <f>Calcoli!$E$148</f>
        <v/>
      </c>
      <c r="M21" s="36" t="str">
        <f>Calcoli!$F$148</f>
        <v/>
      </c>
      <c r="N21" s="37" t="str">
        <f>IF(Calcoli!$C$148="","",Calcoli!$G$148*100)</f>
        <v/>
      </c>
      <c r="O21" s="38" t="str">
        <f>Calcoli!$H$148</f>
        <v/>
      </c>
      <c r="P21" s="1" t="n"/>
      <c r="Q21" s="39" t="str">
        <f>IF(Calcoli!$A$165="","",Calcoli!$A$165&amp;"  ·  "&amp;FIXED(Calcoli!$C$165,IF(Ribilanciamento!$G$8="Sì",0,2))&amp;IF(Calcoli!$C$165=1," quota"," quote"))</f>
        <v/>
      </c>
      <c r="S21" s="40" t="str">
        <f>Calcoli!$B$165</f>
        <v/>
      </c>
      <c r="T21" s="1" t="n"/>
    </row>
    <row r="22" ht="20" customHeight="1">
      <c r="A22" s="1" t="n"/>
      <c r="B22" s="21" t="n"/>
      <c r="C22" s="1" t="n"/>
      <c r="D22" s="1" t="n"/>
      <c r="E22" s="1" t="n"/>
      <c r="F22" s="1" t="n"/>
      <c r="G22" s="1" t="n"/>
      <c r="H22" s="1" t="n"/>
      <c r="I22" s="49" t="str">
        <f>IF(Calcoli!$C$149="","","●  "&amp;Calcoli!$C$149)</f>
        <v/>
      </c>
      <c r="L22" s="35" t="str">
        <f>Calcoli!$E$149</f>
        <v/>
      </c>
      <c r="M22" s="36" t="str">
        <f>Calcoli!$F$149</f>
        <v/>
      </c>
      <c r="N22" s="37" t="str">
        <f>IF(Calcoli!$C$149="","",Calcoli!$G$149*100)</f>
        <v/>
      </c>
      <c r="O22" s="38" t="str">
        <f>Calcoli!$H$149</f>
        <v/>
      </c>
      <c r="P22" s="1" t="n"/>
      <c r="Q22" s="39" t="str">
        <f>IF(Calcoli!$A$166="","",Calcoli!$A$166&amp;"  ·  "&amp;FIXED(Calcoli!$C$166,IF(Ribilanciamento!$G$8="Sì",0,2))&amp;IF(Calcoli!$C$166=1," quota"," quote"))</f>
        <v/>
      </c>
      <c r="S22" s="40" t="str">
        <f>Calcoli!$B$166</f>
        <v/>
      </c>
      <c r="T22" s="1" t="n"/>
    </row>
    <row r="23" ht="20" customHeight="1">
      <c r="A23" s="1" t="n"/>
      <c r="B23" s="21" t="n"/>
      <c r="C23" s="1" t="n"/>
      <c r="D23" s="1" t="n"/>
      <c r="E23" s="1" t="n"/>
      <c r="F23" s="1" t="n"/>
      <c r="G23" s="1" t="n"/>
      <c r="H23" s="1" t="n"/>
      <c r="I23" s="50" t="str">
        <f>IF(Calcoli!$C$150="","","●  "&amp;Calcoli!$C$150)</f>
        <v/>
      </c>
      <c r="L23" s="35" t="str">
        <f>Calcoli!$E$150</f>
        <v/>
      </c>
      <c r="M23" s="36" t="str">
        <f>Calcoli!$F$150</f>
        <v/>
      </c>
      <c r="N23" s="37" t="str">
        <f>IF(Calcoli!$C$150="","",Calcoli!$G$150*100)</f>
        <v/>
      </c>
      <c r="O23" s="38" t="str">
        <f>Calcoli!$H$150</f>
        <v/>
      </c>
      <c r="P23" s="1" t="n"/>
      <c r="Q23" s="39" t="str">
        <f>IF(Calcoli!$A$167="","",Calcoli!$A$167&amp;"  ·  "&amp;FIXED(Calcoli!$C$167,IF(Ribilanciamento!$G$8="Sì",0,2))&amp;IF(Calcoli!$C$167=1," quota"," quote"))</f>
        <v/>
      </c>
      <c r="S23" s="40" t="str">
        <f>Calcoli!$B$167</f>
        <v/>
      </c>
      <c r="T23" s="1" t="n"/>
    </row>
    <row r="24" ht="20" customHeight="1">
      <c r="A24" s="1" t="n"/>
      <c r="B24" s="21" t="n"/>
      <c r="C24" s="1" t="n"/>
      <c r="D24" s="1" t="n"/>
      <c r="E24" s="1" t="n"/>
      <c r="F24" s="1" t="n"/>
      <c r="G24" s="1" t="n"/>
      <c r="H24" s="1" t="n"/>
      <c r="I24" s="51" t="str">
        <f>IF(Calcoli!$C$151="","","●  "&amp;Calcoli!$C$151)</f>
        <v/>
      </c>
      <c r="L24" s="35" t="str">
        <f>Calcoli!$E$151</f>
        <v/>
      </c>
      <c r="M24" s="36" t="str">
        <f>Calcoli!$F$151</f>
        <v/>
      </c>
      <c r="N24" s="37" t="str">
        <f>IF(Calcoli!$C$151="","",Calcoli!$G$151*100)</f>
        <v/>
      </c>
      <c r="O24" s="38" t="str">
        <f>Calcoli!$H$151</f>
        <v/>
      </c>
      <c r="P24" s="1" t="n"/>
      <c r="Q24" s="39" t="str">
        <f>IF(Calcoli!$A$168="","",Calcoli!$A$168&amp;"  ·  "&amp;FIXED(Calcoli!$C$168,IF(Ribilanciamento!$G$8="Sì",0,2))&amp;IF(Calcoli!$C$168=1," quota"," quote"))</f>
        <v/>
      </c>
      <c r="S24" s="40" t="str">
        <f>Calcoli!$B$168</f>
        <v/>
      </c>
      <c r="T24" s="1" t="n"/>
    </row>
    <row r="25" ht="20" customHeight="1">
      <c r="A25" s="1" t="n"/>
      <c r="B25" s="52" t="inlineStr">
        <is>
          <t xml:space="preserve">   mondofinanziario.com</t>
        </is>
      </c>
      <c r="C25" s="1" t="n"/>
      <c r="D25" s="1" t="n"/>
      <c r="E25" s="1" t="n"/>
      <c r="F25" s="1" t="n"/>
      <c r="G25" s="1" t="n"/>
      <c r="H25" s="1" t="n"/>
      <c r="I25" s="53" t="str">
        <f>IF(Calcoli!$C$152="","","●  "&amp;Calcoli!$C$152)</f>
        <v/>
      </c>
      <c r="L25" s="35" t="str">
        <f>Calcoli!$E$152</f>
        <v/>
      </c>
      <c r="M25" s="36" t="str">
        <f>Calcoli!$F$152</f>
        <v/>
      </c>
      <c r="N25" s="37" t="str">
        <f>IF(Calcoli!$C$152="","",Calcoli!$G$152*100)</f>
        <v/>
      </c>
      <c r="O25" s="38" t="str">
        <f>Calcoli!$H$152</f>
        <v/>
      </c>
      <c r="P25" s="1" t="n"/>
      <c r="Q25" s="39" t="str">
        <f>IF(Calcoli!$A$169="","",Calcoli!$A$169&amp;"  ·  "&amp;FIXED(Calcoli!$C$169,IF(Ribilanciamento!$G$8="Sì",0,2))&amp;IF(Calcoli!$C$169=1," quota"," quote"))</f>
        <v/>
      </c>
      <c r="S25" s="40" t="str">
        <f>Calcoli!$B$169</f>
        <v/>
      </c>
      <c r="T25" s="1" t="n"/>
    </row>
    <row r="26" ht="20" customHeight="1">
      <c r="A26" s="1" t="n"/>
      <c r="B26" s="21" t="n"/>
      <c r="C26" s="1" t="n"/>
      <c r="D26" s="1" t="n"/>
      <c r="E26" s="1" t="n"/>
      <c r="F26" s="1" t="n"/>
      <c r="G26" s="1" t="n"/>
      <c r="H26" s="1" t="n"/>
      <c r="I26" s="54" t="str">
        <f>IF(Calcoli!$C$153="","","●  "&amp;Calcoli!$C$153)</f>
        <v/>
      </c>
      <c r="L26" s="35" t="str">
        <f>Calcoli!$E$153</f>
        <v/>
      </c>
      <c r="M26" s="36" t="str">
        <f>Calcoli!$F$153</f>
        <v/>
      </c>
      <c r="N26" s="37" t="str">
        <f>IF(Calcoli!$C$153="","",Calcoli!$G$153*100)</f>
        <v/>
      </c>
      <c r="O26" s="38" t="str">
        <f>Calcoli!$H$153</f>
        <v/>
      </c>
      <c r="P26" s="1" t="n"/>
      <c r="Q26" s="39" t="str">
        <f>IF(Calcoli!$A$170="","",Calcoli!$A$170&amp;"  ·  "&amp;FIXED(Calcoli!$C$170,IF(Ribilanciamento!$G$8="Sì",0,2))&amp;IF(Calcoli!$C$170=1," quota"," quote"))</f>
        <v/>
      </c>
      <c r="S26" s="40" t="str">
        <f>Calcoli!$B$170</f>
        <v/>
      </c>
      <c r="T26" s="1" t="n"/>
    </row>
    <row r="27" ht="20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55" t="str">
        <f>IF(Calcoli!$C$154="","","●  "&amp;Calcoli!$C$154)</f>
        <v/>
      </c>
      <c r="L27" s="35" t="str">
        <f>Calcoli!$E$154</f>
        <v/>
      </c>
      <c r="M27" s="36" t="str">
        <f>Calcoli!$F$154</f>
        <v/>
      </c>
      <c r="N27" s="37" t="str">
        <f>IF(Calcoli!$C$154="","",Calcoli!$G$154*100)</f>
        <v/>
      </c>
      <c r="O27" s="38" t="str">
        <f>Calcoli!$H$154</f>
        <v/>
      </c>
      <c r="P27" s="1" t="n"/>
      <c r="Q27" s="56" t="inlineStr">
        <is>
          <t xml:space="preserve">   ⚖  Calcola il ribilanciamento</t>
        </is>
      </c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</row>
    <row r="29" ht="20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24" t="inlineStr">
        <is>
          <t>DIVIDENDI NETTI</t>
        </is>
      </c>
      <c r="T29" s="1" t="n"/>
    </row>
    <row r="30" ht="20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33" t="inlineStr">
        <is>
          <t>Incassati in tutto</t>
        </is>
      </c>
      <c r="S30" s="57">
        <f>Calcoli!$B$28</f>
        <v>108.17</v>
      </c>
      <c r="T30" s="1" t="n"/>
    </row>
    <row r="31" ht="20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33" t="inlineStr">
        <is>
          <t>Ultimi 12 mesi</t>
        </is>
      </c>
      <c r="S31" s="57">
        <f>Calcoli!$B$39</f>
        <v>62.13</v>
      </c>
      <c r="T31" s="1" t="n"/>
    </row>
    <row r="32" ht="20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33" t="inlineStr">
        <is>
          <t>Rendimento annuo</t>
        </is>
      </c>
      <c r="S32" s="58">
        <f>Calcoli!$B$40</f>
        <v>0.00363880430752904</v>
      </c>
      <c r="T32" s="1" t="n"/>
    </row>
    <row r="33" ht="20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59" t="inlineStr">
        <is>
          <t xml:space="preserve">   💶  Storico dei dividendi</t>
        </is>
      </c>
      <c r="T33" s="1" t="n"/>
    </row>
    <row r="34" ht="20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</row>
    <row r="35" ht="2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24" t="inlineStr">
        <is>
          <t>COSTI</t>
        </is>
      </c>
      <c r="T35" s="1" t="n"/>
    </row>
    <row r="36" ht="20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33" t="inlineStr">
        <is>
          <t>TER medio</t>
        </is>
      </c>
      <c r="S36" s="58">
        <f>Calcoli!$B$35</f>
        <v>0.00177374614112798</v>
      </c>
      <c r="T36" s="1" t="n"/>
    </row>
    <row r="37" ht="20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33" t="inlineStr">
        <is>
          <t>TER all’anno</t>
        </is>
      </c>
      <c r="S37" s="57">
        <f>Calcoli!$B$34</f>
        <v>30.285456</v>
      </c>
      <c r="T37" s="1" t="n"/>
    </row>
    <row r="38" ht="20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33" t="inlineStr">
        <is>
          <t>Imposta di bollo</t>
        </is>
      </c>
      <c r="S38" s="57">
        <f>Calcoli!$B$36</f>
        <v>34.14858</v>
      </c>
      <c r="T38" s="1" t="n"/>
    </row>
    <row r="39" ht="20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33" t="inlineStr">
        <is>
          <t>Commissioni pagate</t>
        </is>
      </c>
      <c r="S39" s="57">
        <f>Calcoli!$B$38</f>
        <v>57</v>
      </c>
      <c r="T39" s="1" t="n"/>
    </row>
    <row r="40" ht="20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21" t="n"/>
      <c r="R40" s="21" t="n"/>
      <c r="S40" s="21" t="n"/>
      <c r="T40" s="1" t="n"/>
    </row>
    <row r="41" ht="20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 ht="20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 ht="20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 ht="20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 ht="20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1" t="n"/>
      <c r="C46" s="1" t="n"/>
      <c r="D46" s="60" t="inlineStr">
        <is>
          <t>Valore: i mesi passati vengono dal foglio Storico (la linea mostra solo i mesi che scrivi), l’ultimo punto usa i prezzi di oggi. Dividendi: si calcolano dai Movimenti; il dettaglio è nella pagina Dividendi.</t>
        </is>
      </c>
      <c r="P46" s="1" t="n"/>
      <c r="Q46" s="1" t="n"/>
      <c r="R46" s="1" t="n"/>
      <c r="S46" s="1" t="n"/>
      <c r="T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 ht="26" customHeight="1">
      <c r="A48" s="1" t="n"/>
      <c r="B48" s="1" t="n"/>
      <c r="C48" s="1" t="n"/>
      <c r="D48" s="6" t="inlineStr">
        <is>
          <t>I tuoi ETF</t>
        </is>
      </c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1" t="n"/>
      <c r="Q48" s="1" t="n"/>
      <c r="R48" s="1" t="n"/>
      <c r="S48" s="1" t="n"/>
      <c r="T48" s="1" t="n"/>
    </row>
    <row r="49" ht="24" customHeight="1">
      <c r="A49" s="1" t="n"/>
      <c r="B49" s="1" t="n"/>
      <c r="C49" s="1" t="n"/>
      <c r="D49" s="61" t="inlineStr">
        <is>
          <t>ETF</t>
        </is>
      </c>
      <c r="F49" s="61" t="inlineStr">
        <is>
          <t>CLASSE</t>
        </is>
      </c>
      <c r="G49" s="62" t="inlineStr">
        <is>
          <t>QUOTE</t>
        </is>
      </c>
      <c r="H49" s="62" t="inlineStr">
        <is>
          <t>PREZZO MEDIO</t>
        </is>
      </c>
      <c r="I49" s="62" t="inlineStr">
        <is>
          <t>PREZZO</t>
        </is>
      </c>
      <c r="J49" s="62" t="inlineStr">
        <is>
          <t>VALORE</t>
        </is>
      </c>
      <c r="K49" s="62" t="inlineStr">
        <is>
          <t>GUADAGNO</t>
        </is>
      </c>
      <c r="L49" s="62" t="inlineStr">
        <is>
          <t>SUL COSTO</t>
        </is>
      </c>
      <c r="M49" s="62" t="inlineStr">
        <is>
          <t>DIVIDENDI</t>
        </is>
      </c>
      <c r="N49" s="62" t="inlineStr">
        <is>
          <t>TER</t>
        </is>
      </c>
      <c r="O49" s="62" t="inlineStr">
        <is>
          <t>COSTO/ANNO</t>
        </is>
      </c>
      <c r="P49" s="1" t="n"/>
      <c r="Q49" s="1" t="n"/>
      <c r="R49" s="1" t="n"/>
      <c r="S49" s="1" t="n"/>
      <c r="T49" s="1" t="n"/>
    </row>
    <row r="50" ht="18" customHeight="1">
      <c r="A50" s="1" t="n"/>
      <c r="B50" s="1" t="n"/>
      <c r="C50" s="1" t="n"/>
      <c r="D50" s="63" t="str">
        <f>Calcoli!$C$140</f>
        <v>Azionario Mondo</v>
      </c>
      <c r="F50" s="64" t="str">
        <f>Calcoli!$X$140</f>
        <v>Azionario</v>
      </c>
      <c r="G50" s="65">
        <f>Calcoli!$P$140</f>
        <v>83</v>
      </c>
      <c r="H50" s="66">
        <f>Calcoli!$Q$140</f>
        <v>95.7558953053593</v>
      </c>
      <c r="I50" s="66">
        <f>Calcoli!$R$140</f>
        <v>113.04</v>
      </c>
      <c r="J50" s="57">
        <f>Calcoli!$D$140</f>
        <v>9382.32</v>
      </c>
      <c r="K50" s="67">
        <f>Calcoli!$S$140</f>
        <v>1509.47</v>
      </c>
      <c r="L50" s="68">
        <f>Calcoli!$T$140</f>
        <v>0.180501729314135</v>
      </c>
      <c r="M50" s="69">
        <f>Calcoli!$U$140</f>
        <v>0</v>
      </c>
      <c r="N50" s="70">
        <f>Calcoli!$V$140</f>
        <v>0.002</v>
      </c>
      <c r="O50" s="69">
        <f>Calcoli!$W$140</f>
        <v>18.76464</v>
      </c>
      <c r="P50" s="1" t="n"/>
      <c r="Q50" s="1" t="n"/>
      <c r="R50" s="1" t="n"/>
      <c r="S50" s="1" t="n"/>
      <c r="T50" s="1" t="n"/>
    </row>
    <row r="51" ht="18" customHeight="1">
      <c r="A51" s="1" t="n"/>
      <c r="B51" s="1" t="n"/>
      <c r="C51" s="1" t="n"/>
      <c r="D51" s="63" t="str">
        <f>Calcoli!$C$141</f>
        <v>Azionario Emergenti</v>
      </c>
      <c r="F51" s="64" t="str">
        <f>Calcoli!$X$141</f>
        <v>Azionario</v>
      </c>
      <c r="G51" s="65">
        <f>Calcoli!$P$141</f>
        <v>38</v>
      </c>
      <c r="H51" s="66">
        <f>Calcoli!$Q$141</f>
        <v>43.061052631579</v>
      </c>
      <c r="I51" s="66">
        <f>Calcoli!$R$141</f>
        <v>43.9</v>
      </c>
      <c r="J51" s="57">
        <f>Calcoli!$D$141</f>
        <v>1668.2</v>
      </c>
      <c r="K51" s="67">
        <f>Calcoli!$S$141</f>
        <v>69.5399999999999</v>
      </c>
      <c r="L51" s="68">
        <f>Calcoli!$T$141</f>
        <v>0.0194827417620025</v>
      </c>
      <c r="M51" s="69">
        <f>Calcoli!$U$141</f>
        <v>37.66</v>
      </c>
      <c r="N51" s="70">
        <f>Calcoli!$V$141</f>
        <v>0.0018</v>
      </c>
      <c r="O51" s="69">
        <f>Calcoli!$W$141</f>
        <v>3.00276</v>
      </c>
      <c r="P51" s="1" t="n"/>
      <c r="Q51" s="1" t="n"/>
      <c r="R51" s="1" t="n"/>
      <c r="S51" s="1" t="n"/>
      <c r="T51" s="1" t="n"/>
    </row>
    <row r="52" ht="18" customHeight="1">
      <c r="A52" s="1" t="n"/>
      <c r="B52" s="1" t="n"/>
      <c r="C52" s="1" t="n"/>
      <c r="D52" s="63" t="str">
        <f>Calcoli!$C$142</f>
        <v>Titoli di Stato Euro</v>
      </c>
      <c r="F52" s="64" t="str">
        <f>Calcoli!$X$142</f>
        <v>Obbligazionario</v>
      </c>
      <c r="G52" s="65">
        <f>Calcoli!$P$142</f>
        <v>41</v>
      </c>
      <c r="H52" s="66">
        <f>Calcoli!$Q$142</f>
        <v>100.885609756098</v>
      </c>
      <c r="I52" s="66">
        <f>Calcoli!$R$142</f>
        <v>104.84</v>
      </c>
      <c r="J52" s="57">
        <f>Calcoli!$D$142</f>
        <v>4298.44</v>
      </c>
      <c r="K52" s="67">
        <f>Calcoli!$S$142</f>
        <v>232.64</v>
      </c>
      <c r="L52" s="68">
        <f>Calcoli!$T$142</f>
        <v>0.0391967720020985</v>
      </c>
      <c r="M52" s="69">
        <f>Calcoli!$U$142</f>
        <v>70.51</v>
      </c>
      <c r="N52" s="70">
        <f>Calcoli!$V$142</f>
        <v>0.0015</v>
      </c>
      <c r="O52" s="69">
        <f>Calcoli!$W$142</f>
        <v>6.44766</v>
      </c>
      <c r="P52" s="1" t="n"/>
      <c r="Q52" s="1" t="n"/>
      <c r="R52" s="1" t="n"/>
      <c r="S52" s="1" t="n"/>
      <c r="T52" s="1" t="n"/>
    </row>
    <row r="53" ht="18" customHeight="1">
      <c r="A53" s="1" t="n"/>
      <c r="B53" s="1" t="n"/>
      <c r="C53" s="1" t="n"/>
      <c r="D53" s="63" t="str">
        <f>Calcoli!$C$143</f>
        <v>Oro</v>
      </c>
      <c r="F53" s="64" t="str">
        <f>Calcoli!$X$143</f>
        <v>Materie prime</v>
      </c>
      <c r="G53" s="65">
        <f>Calcoli!$P$143</f>
        <v>17</v>
      </c>
      <c r="H53" s="66">
        <f>Calcoli!$Q$143</f>
        <v>62.5541176470588</v>
      </c>
      <c r="I53" s="66">
        <f>Calcoli!$R$143</f>
        <v>101.49</v>
      </c>
      <c r="J53" s="57">
        <f>Calcoli!$D$143</f>
        <v>1725.33</v>
      </c>
      <c r="K53" s="67">
        <f>Calcoli!$S$143</f>
        <v>661.91</v>
      </c>
      <c r="L53" s="68">
        <f>Calcoli!$T$143</f>
        <v>0.622435162024412</v>
      </c>
      <c r="M53" s="69">
        <f>Calcoli!$U$143</f>
        <v>0</v>
      </c>
      <c r="N53" s="70">
        <f>Calcoli!$V$143</f>
        <v>0.0012</v>
      </c>
      <c r="O53" s="69">
        <f>Calcoli!$W$143</f>
        <v>2.070396</v>
      </c>
      <c r="P53" s="1" t="n"/>
      <c r="Q53" s="1" t="n"/>
      <c r="R53" s="1" t="n"/>
      <c r="S53" s="1" t="n"/>
      <c r="T53" s="1" t="n"/>
    </row>
    <row r="54" ht="18" customHeight="1">
      <c r="A54" s="1" t="n"/>
      <c r="B54" s="1" t="n"/>
      <c r="C54" s="1" t="n"/>
      <c r="D54" s="63" t="str">
        <f>Calcoli!$C$144</f>
        <v/>
      </c>
      <c r="F54" s="64" t="str">
        <f>Calcoli!$X$144</f>
        <v/>
      </c>
      <c r="G54" s="65" t="str">
        <f>Calcoli!$P$144</f>
        <v/>
      </c>
      <c r="H54" s="66" t="str">
        <f>Calcoli!$Q$144</f>
        <v/>
      </c>
      <c r="I54" s="66" t="str">
        <f>Calcoli!$R$144</f>
        <v/>
      </c>
      <c r="J54" s="57" t="str">
        <f>Calcoli!$D$144</f>
        <v/>
      </c>
      <c r="K54" s="67" t="str">
        <f>Calcoli!$S$144</f>
        <v/>
      </c>
      <c r="L54" s="68" t="str">
        <f>Calcoli!$T$144</f>
        <v/>
      </c>
      <c r="M54" s="69" t="str">
        <f>Calcoli!$U$144</f>
        <v/>
      </c>
      <c r="N54" s="70" t="str">
        <f>Calcoli!$V$144</f>
        <v/>
      </c>
      <c r="O54" s="69" t="str">
        <f>Calcoli!$W$144</f>
        <v/>
      </c>
      <c r="P54" s="1" t="n"/>
      <c r="Q54" s="1" t="n"/>
      <c r="R54" s="1" t="n"/>
      <c r="S54" s="1" t="n"/>
      <c r="T54" s="1" t="n"/>
    </row>
    <row r="55" ht="18" customHeight="1">
      <c r="A55" s="1" t="n"/>
      <c r="B55" s="1" t="n"/>
      <c r="C55" s="1" t="n"/>
      <c r="D55" s="63" t="str">
        <f>Calcoli!$C$145</f>
        <v/>
      </c>
      <c r="F55" s="64" t="str">
        <f>Calcoli!$X$145</f>
        <v/>
      </c>
      <c r="G55" s="65" t="str">
        <f>Calcoli!$P$145</f>
        <v/>
      </c>
      <c r="H55" s="66" t="str">
        <f>Calcoli!$Q$145</f>
        <v/>
      </c>
      <c r="I55" s="66" t="str">
        <f>Calcoli!$R$145</f>
        <v/>
      </c>
      <c r="J55" s="57" t="str">
        <f>Calcoli!$D$145</f>
        <v/>
      </c>
      <c r="K55" s="67" t="str">
        <f>Calcoli!$S$145</f>
        <v/>
      </c>
      <c r="L55" s="68" t="str">
        <f>Calcoli!$T$145</f>
        <v/>
      </c>
      <c r="M55" s="69" t="str">
        <f>Calcoli!$U$145</f>
        <v/>
      </c>
      <c r="N55" s="70" t="str">
        <f>Calcoli!$V$145</f>
        <v/>
      </c>
      <c r="O55" s="69" t="str">
        <f>Calcoli!$W$145</f>
        <v/>
      </c>
      <c r="P55" s="1" t="n"/>
      <c r="Q55" s="1" t="n"/>
      <c r="R55" s="1" t="n"/>
      <c r="S55" s="1" t="n"/>
      <c r="T55" s="1" t="n"/>
    </row>
    <row r="56" ht="18" customHeight="1">
      <c r="A56" s="1" t="n"/>
      <c r="B56" s="1" t="n"/>
      <c r="C56" s="1" t="n"/>
      <c r="D56" s="63" t="str">
        <f>Calcoli!$C$146</f>
        <v/>
      </c>
      <c r="F56" s="64" t="str">
        <f>Calcoli!$X$146</f>
        <v/>
      </c>
      <c r="G56" s="65" t="str">
        <f>Calcoli!$P$146</f>
        <v/>
      </c>
      <c r="H56" s="66" t="str">
        <f>Calcoli!$Q$146</f>
        <v/>
      </c>
      <c r="I56" s="66" t="str">
        <f>Calcoli!$R$146</f>
        <v/>
      </c>
      <c r="J56" s="57" t="str">
        <f>Calcoli!$D$146</f>
        <v/>
      </c>
      <c r="K56" s="67" t="str">
        <f>Calcoli!$S$146</f>
        <v/>
      </c>
      <c r="L56" s="68" t="str">
        <f>Calcoli!$T$146</f>
        <v/>
      </c>
      <c r="M56" s="69" t="str">
        <f>Calcoli!$U$146</f>
        <v/>
      </c>
      <c r="N56" s="70" t="str">
        <f>Calcoli!$V$146</f>
        <v/>
      </c>
      <c r="O56" s="69" t="str">
        <f>Calcoli!$W$146</f>
        <v/>
      </c>
      <c r="P56" s="1" t="n"/>
      <c r="Q56" s="1" t="n"/>
      <c r="R56" s="1" t="n"/>
      <c r="S56" s="1" t="n"/>
      <c r="T56" s="1" t="n"/>
    </row>
    <row r="57" ht="18" customHeight="1">
      <c r="A57" s="1" t="n"/>
      <c r="B57" s="1" t="n"/>
      <c r="C57" s="1" t="n"/>
      <c r="D57" s="63" t="str">
        <f>Calcoli!$C$147</f>
        <v/>
      </c>
      <c r="F57" s="64" t="str">
        <f>Calcoli!$X$147</f>
        <v/>
      </c>
      <c r="G57" s="65" t="str">
        <f>Calcoli!$P$147</f>
        <v/>
      </c>
      <c r="H57" s="66" t="str">
        <f>Calcoli!$Q$147</f>
        <v/>
      </c>
      <c r="I57" s="66" t="str">
        <f>Calcoli!$R$147</f>
        <v/>
      </c>
      <c r="J57" s="57" t="str">
        <f>Calcoli!$D$147</f>
        <v/>
      </c>
      <c r="K57" s="67" t="str">
        <f>Calcoli!$S$147</f>
        <v/>
      </c>
      <c r="L57" s="68" t="str">
        <f>Calcoli!$T$147</f>
        <v/>
      </c>
      <c r="M57" s="69" t="str">
        <f>Calcoli!$U$147</f>
        <v/>
      </c>
      <c r="N57" s="70" t="str">
        <f>Calcoli!$V$147</f>
        <v/>
      </c>
      <c r="O57" s="69" t="str">
        <f>Calcoli!$W$147</f>
        <v/>
      </c>
      <c r="P57" s="1" t="n"/>
      <c r="Q57" s="1" t="n"/>
      <c r="R57" s="1" t="n"/>
      <c r="S57" s="1" t="n"/>
      <c r="T57" s="1" t="n"/>
    </row>
    <row r="58" ht="18" customHeight="1">
      <c r="A58" s="1" t="n"/>
      <c r="B58" s="1" t="n"/>
      <c r="C58" s="1" t="n"/>
      <c r="D58" s="63" t="str">
        <f>Calcoli!$C$148</f>
        <v/>
      </c>
      <c r="F58" s="64" t="str">
        <f>Calcoli!$X$148</f>
        <v/>
      </c>
      <c r="G58" s="65" t="str">
        <f>Calcoli!$P$148</f>
        <v/>
      </c>
      <c r="H58" s="66" t="str">
        <f>Calcoli!$Q$148</f>
        <v/>
      </c>
      <c r="I58" s="66" t="str">
        <f>Calcoli!$R$148</f>
        <v/>
      </c>
      <c r="J58" s="57" t="str">
        <f>Calcoli!$D$148</f>
        <v/>
      </c>
      <c r="K58" s="67" t="str">
        <f>Calcoli!$S$148</f>
        <v/>
      </c>
      <c r="L58" s="68" t="str">
        <f>Calcoli!$T$148</f>
        <v/>
      </c>
      <c r="M58" s="69" t="str">
        <f>Calcoli!$U$148</f>
        <v/>
      </c>
      <c r="N58" s="70" t="str">
        <f>Calcoli!$V$148</f>
        <v/>
      </c>
      <c r="O58" s="69" t="str">
        <f>Calcoli!$W$148</f>
        <v/>
      </c>
      <c r="P58" s="1" t="n"/>
      <c r="Q58" s="1" t="n"/>
      <c r="R58" s="1" t="n"/>
      <c r="S58" s="1" t="n"/>
      <c r="T58" s="1" t="n"/>
    </row>
    <row r="59" ht="18" customHeight="1">
      <c r="A59" s="1" t="n"/>
      <c r="B59" s="1" t="n"/>
      <c r="C59" s="1" t="n"/>
      <c r="D59" s="63" t="str">
        <f>Calcoli!$C$149</f>
        <v/>
      </c>
      <c r="F59" s="64" t="str">
        <f>Calcoli!$X$149</f>
        <v/>
      </c>
      <c r="G59" s="65" t="str">
        <f>Calcoli!$P$149</f>
        <v/>
      </c>
      <c r="H59" s="66" t="str">
        <f>Calcoli!$Q$149</f>
        <v/>
      </c>
      <c r="I59" s="66" t="str">
        <f>Calcoli!$R$149</f>
        <v/>
      </c>
      <c r="J59" s="57" t="str">
        <f>Calcoli!$D$149</f>
        <v/>
      </c>
      <c r="K59" s="67" t="str">
        <f>Calcoli!$S$149</f>
        <v/>
      </c>
      <c r="L59" s="68" t="str">
        <f>Calcoli!$T$149</f>
        <v/>
      </c>
      <c r="M59" s="69" t="str">
        <f>Calcoli!$U$149</f>
        <v/>
      </c>
      <c r="N59" s="70" t="str">
        <f>Calcoli!$V$149</f>
        <v/>
      </c>
      <c r="O59" s="69" t="str">
        <f>Calcoli!$W$149</f>
        <v/>
      </c>
      <c r="P59" s="1" t="n"/>
      <c r="Q59" s="1" t="n"/>
      <c r="R59" s="1" t="n"/>
      <c r="S59" s="1" t="n"/>
      <c r="T59" s="1" t="n"/>
    </row>
    <row r="60" ht="18" customHeight="1">
      <c r="A60" s="1" t="n"/>
      <c r="B60" s="1" t="n"/>
      <c r="C60" s="1" t="n"/>
      <c r="D60" s="63" t="str">
        <f>Calcoli!$C$150</f>
        <v/>
      </c>
      <c r="F60" s="64" t="str">
        <f>Calcoli!$X$150</f>
        <v/>
      </c>
      <c r="G60" s="65" t="str">
        <f>Calcoli!$P$150</f>
        <v/>
      </c>
      <c r="H60" s="66" t="str">
        <f>Calcoli!$Q$150</f>
        <v/>
      </c>
      <c r="I60" s="66" t="str">
        <f>Calcoli!$R$150</f>
        <v/>
      </c>
      <c r="J60" s="57" t="str">
        <f>Calcoli!$D$150</f>
        <v/>
      </c>
      <c r="K60" s="67" t="str">
        <f>Calcoli!$S$150</f>
        <v/>
      </c>
      <c r="L60" s="68" t="str">
        <f>Calcoli!$T$150</f>
        <v/>
      </c>
      <c r="M60" s="69" t="str">
        <f>Calcoli!$U$150</f>
        <v/>
      </c>
      <c r="N60" s="70" t="str">
        <f>Calcoli!$V$150</f>
        <v/>
      </c>
      <c r="O60" s="69" t="str">
        <f>Calcoli!$W$150</f>
        <v/>
      </c>
      <c r="P60" s="1" t="n"/>
      <c r="Q60" s="1" t="n"/>
      <c r="R60" s="1" t="n"/>
      <c r="S60" s="1" t="n"/>
      <c r="T60" s="1" t="n"/>
    </row>
    <row r="61" ht="18" customHeight="1">
      <c r="A61" s="1" t="n"/>
      <c r="B61" s="1" t="n"/>
      <c r="C61" s="1" t="n"/>
      <c r="D61" s="63" t="str">
        <f>Calcoli!$C$151</f>
        <v/>
      </c>
      <c r="F61" s="64" t="str">
        <f>Calcoli!$X$151</f>
        <v/>
      </c>
      <c r="G61" s="65" t="str">
        <f>Calcoli!$P$151</f>
        <v/>
      </c>
      <c r="H61" s="66" t="str">
        <f>Calcoli!$Q$151</f>
        <v/>
      </c>
      <c r="I61" s="66" t="str">
        <f>Calcoli!$R$151</f>
        <v/>
      </c>
      <c r="J61" s="57" t="str">
        <f>Calcoli!$D$151</f>
        <v/>
      </c>
      <c r="K61" s="67" t="str">
        <f>Calcoli!$S$151</f>
        <v/>
      </c>
      <c r="L61" s="68" t="str">
        <f>Calcoli!$T$151</f>
        <v/>
      </c>
      <c r="M61" s="69" t="str">
        <f>Calcoli!$U$151</f>
        <v/>
      </c>
      <c r="N61" s="70" t="str">
        <f>Calcoli!$V$151</f>
        <v/>
      </c>
      <c r="O61" s="69" t="str">
        <f>Calcoli!$W$151</f>
        <v/>
      </c>
      <c r="P61" s="1" t="n"/>
      <c r="Q61" s="1" t="n"/>
      <c r="R61" s="1" t="n"/>
      <c r="S61" s="1" t="n"/>
      <c r="T61" s="1" t="n"/>
    </row>
    <row r="62" ht="18" customHeight="1">
      <c r="A62" s="1" t="n"/>
      <c r="B62" s="1" t="n"/>
      <c r="C62" s="1" t="n"/>
      <c r="D62" s="63" t="str">
        <f>Calcoli!$C$152</f>
        <v/>
      </c>
      <c r="F62" s="64" t="str">
        <f>Calcoli!$X$152</f>
        <v/>
      </c>
      <c r="G62" s="65" t="str">
        <f>Calcoli!$P$152</f>
        <v/>
      </c>
      <c r="H62" s="66" t="str">
        <f>Calcoli!$Q$152</f>
        <v/>
      </c>
      <c r="I62" s="66" t="str">
        <f>Calcoli!$R$152</f>
        <v/>
      </c>
      <c r="J62" s="57" t="str">
        <f>Calcoli!$D$152</f>
        <v/>
      </c>
      <c r="K62" s="67" t="str">
        <f>Calcoli!$S$152</f>
        <v/>
      </c>
      <c r="L62" s="68" t="str">
        <f>Calcoli!$T$152</f>
        <v/>
      </c>
      <c r="M62" s="69" t="str">
        <f>Calcoli!$U$152</f>
        <v/>
      </c>
      <c r="N62" s="70" t="str">
        <f>Calcoli!$V$152</f>
        <v/>
      </c>
      <c r="O62" s="69" t="str">
        <f>Calcoli!$W$152</f>
        <v/>
      </c>
      <c r="P62" s="1" t="n"/>
      <c r="Q62" s="1" t="n"/>
      <c r="R62" s="1" t="n"/>
      <c r="S62" s="1" t="n"/>
      <c r="T62" s="1" t="n"/>
    </row>
    <row r="63" ht="18" customHeight="1">
      <c r="A63" s="1" t="n"/>
      <c r="B63" s="1" t="n"/>
      <c r="C63" s="1" t="n"/>
      <c r="D63" s="63" t="str">
        <f>Calcoli!$C$153</f>
        <v/>
      </c>
      <c r="F63" s="64" t="str">
        <f>Calcoli!$X$153</f>
        <v/>
      </c>
      <c r="G63" s="65" t="str">
        <f>Calcoli!$P$153</f>
        <v/>
      </c>
      <c r="H63" s="66" t="str">
        <f>Calcoli!$Q$153</f>
        <v/>
      </c>
      <c r="I63" s="66" t="str">
        <f>Calcoli!$R$153</f>
        <v/>
      </c>
      <c r="J63" s="57" t="str">
        <f>Calcoli!$D$153</f>
        <v/>
      </c>
      <c r="K63" s="67" t="str">
        <f>Calcoli!$S$153</f>
        <v/>
      </c>
      <c r="L63" s="68" t="str">
        <f>Calcoli!$T$153</f>
        <v/>
      </c>
      <c r="M63" s="69" t="str">
        <f>Calcoli!$U$153</f>
        <v/>
      </c>
      <c r="N63" s="70" t="str">
        <f>Calcoli!$V$153</f>
        <v/>
      </c>
      <c r="O63" s="69" t="str">
        <f>Calcoli!$W$153</f>
        <v/>
      </c>
      <c r="P63" s="1" t="n"/>
      <c r="Q63" s="1" t="n"/>
      <c r="R63" s="1" t="n"/>
      <c r="S63" s="1" t="n"/>
      <c r="T63" s="1" t="n"/>
    </row>
    <row r="64" ht="18" customHeight="1">
      <c r="A64" s="1" t="n"/>
      <c r="B64" s="1" t="n"/>
      <c r="C64" s="1" t="n"/>
      <c r="D64" s="63" t="str">
        <f>Calcoli!$C$154</f>
        <v/>
      </c>
      <c r="F64" s="64" t="str">
        <f>Calcoli!$X$154</f>
        <v/>
      </c>
      <c r="G64" s="65" t="str">
        <f>Calcoli!$P$154</f>
        <v/>
      </c>
      <c r="H64" s="66" t="str">
        <f>Calcoli!$Q$154</f>
        <v/>
      </c>
      <c r="I64" s="66" t="str">
        <f>Calcoli!$R$154</f>
        <v/>
      </c>
      <c r="J64" s="57" t="str">
        <f>Calcoli!$D$154</f>
        <v/>
      </c>
      <c r="K64" s="67" t="str">
        <f>Calcoli!$S$154</f>
        <v/>
      </c>
      <c r="L64" s="68" t="str">
        <f>Calcoli!$T$154</f>
        <v/>
      </c>
      <c r="M64" s="69" t="str">
        <f>Calcoli!$U$154</f>
        <v/>
      </c>
      <c r="N64" s="70" t="str">
        <f>Calcoli!$V$154</f>
        <v/>
      </c>
      <c r="O64" s="69" t="str">
        <f>Calcoli!$W$154</f>
        <v/>
      </c>
      <c r="P64" s="1" t="n"/>
      <c r="Q64" s="1" t="n"/>
      <c r="R64" s="1" t="n"/>
      <c r="S64" s="1" t="n"/>
      <c r="T64" s="1" t="n"/>
    </row>
    <row r="65">
      <c r="A65" s="1" t="n"/>
      <c r="B65" s="1" t="n"/>
      <c r="C65" s="1" t="n"/>
      <c r="D65" s="63" t="inlineStr">
        <is>
          <t>Totale</t>
        </is>
      </c>
      <c r="F65" s="21" t="n"/>
      <c r="G65" s="21" t="n"/>
      <c r="H65" s="21" t="n"/>
      <c r="I65" s="21" t="n"/>
      <c r="J65" s="57">
        <f>Calcoli!$B$25</f>
        <v>17074.29</v>
      </c>
      <c r="K65" s="67">
        <f>Calcoli!$R$22</f>
        <v>2473.56</v>
      </c>
      <c r="L65" s="21" t="n"/>
      <c r="M65" s="57">
        <f>Calcoli!$Q$22</f>
        <v>108.17</v>
      </c>
      <c r="N65" s="21" t="n"/>
      <c r="O65" s="57">
        <f>Calcoli!$U$22</f>
        <v>30.285456</v>
      </c>
      <c r="P65" s="1" t="n"/>
      <c r="Q65" s="1" t="n"/>
      <c r="R65" s="1" t="n"/>
      <c r="S65" s="1" t="n"/>
      <c r="T65" s="1" t="n"/>
    </row>
    <row r="66">
      <c r="A66" s="1" t="n"/>
      <c r="B66" s="1" t="n"/>
      <c r="C66" s="1" t="n"/>
      <c r="D66" s="52" t="inlineStr">
        <is>
          <t>Guadagno: quanto vale oggi meno quanto è costato (prezzo medio, commissioni comprese), più le vendite e i dividendi al netto delle tasse.</t>
        </is>
      </c>
      <c r="P66" s="1" t="n"/>
      <c r="Q66" s="1" t="n"/>
      <c r="R66" s="1" t="n"/>
      <c r="S66" s="1" t="n"/>
      <c r="T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</row>
    <row r="68" ht="26" customHeight="1">
      <c r="A68" s="1" t="n"/>
      <c r="B68" s="1" t="n"/>
      <c r="C68" s="1" t="n"/>
      <c r="D68" s="6" t="inlineStr">
        <is>
          <t>Per classe</t>
        </is>
      </c>
      <c r="E68" s="21" t="n"/>
      <c r="F68" s="21" t="n"/>
      <c r="G68" s="21" t="n"/>
      <c r="H68" s="21" t="n"/>
      <c r="I68" s="21" t="n"/>
      <c r="J68" s="21" t="n"/>
      <c r="K68" s="21" t="n"/>
      <c r="L68" s="21" t="n"/>
      <c r="M68" s="21" t="n"/>
      <c r="N68" s="21" t="n"/>
      <c r="O68" s="21" t="n"/>
      <c r="P68" s="1" t="n"/>
      <c r="Q68" s="1" t="n"/>
      <c r="R68" s="1" t="n"/>
      <c r="S68" s="1" t="n"/>
      <c r="T68" s="1" t="n"/>
    </row>
    <row r="69">
      <c r="A69" s="1" t="n"/>
      <c r="B69" s="1" t="n"/>
      <c r="C69" s="1" t="n"/>
      <c r="D69" s="24" t="inlineStr">
        <is>
          <t>CLASSE</t>
        </is>
      </c>
      <c r="G69" s="32" t="inlineStr">
        <is>
          <t>VALORE</t>
        </is>
      </c>
      <c r="I69" s="32" t="inlineStr">
        <is>
          <t>PESO</t>
        </is>
      </c>
      <c r="J69" s="32" t="inlineStr">
        <is>
          <t>OBIETTIVO</t>
        </is>
      </c>
      <c r="K69" s="32" t="inlineStr">
        <is>
          <t>SCOSTAM.</t>
        </is>
      </c>
      <c r="L69" s="24" t="inlineStr"/>
      <c r="P69" s="1" t="n"/>
      <c r="Q69" s="1" t="n"/>
      <c r="R69" s="1" t="n"/>
      <c r="S69" s="1" t="n"/>
      <c r="T69" s="1" t="n"/>
    </row>
    <row r="70">
      <c r="A70" s="1" t="n"/>
      <c r="B70" s="1" t="n"/>
      <c r="C70" s="1" t="n"/>
      <c r="D70" s="63" t="str">
        <f>Calcoli!$A$190</f>
        <v>Azionario</v>
      </c>
      <c r="G70" s="69">
        <f>Calcoli!$B$190</f>
        <v>11050.52</v>
      </c>
      <c r="I70" s="35">
        <f>Calcoli!$D$190</f>
        <v>0.647202314122578</v>
      </c>
      <c r="J70" s="36">
        <f>Calcoli!$C$190</f>
        <v>0.65</v>
      </c>
      <c r="K70" s="37">
        <f>IF(Calcoli!$A$190="","",Calcoli!$E$190*100)</f>
        <v>-0.279768587742157</v>
      </c>
      <c r="L70" s="71" t="str">
        <f>IF(Calcoli!$A$190="","",REPT("█",MAX(0,MIN(40,ROUND(Calcoli!$D$190*40,0)))))</f>
        <v>██████████████████████████</v>
      </c>
      <c r="P70" s="1" t="n"/>
      <c r="Q70" s="1" t="n"/>
      <c r="R70" s="1" t="n"/>
      <c r="S70" s="1" t="n"/>
      <c r="T70" s="1" t="n"/>
    </row>
    <row r="71">
      <c r="A71" s="1" t="n"/>
      <c r="B71" s="1" t="n"/>
      <c r="C71" s="1" t="n"/>
      <c r="D71" s="63" t="str">
        <f>Calcoli!$A$191</f>
        <v>Obbligazionario</v>
      </c>
      <c r="G71" s="69">
        <f>Calcoli!$B$191</f>
        <v>4298.44</v>
      </c>
      <c r="I71" s="35">
        <f>Calcoli!$D$191</f>
        <v>0.25174926746588</v>
      </c>
      <c r="J71" s="36">
        <f>Calcoli!$C$191</f>
        <v>0.25</v>
      </c>
      <c r="K71" s="37">
        <f>IF(Calcoli!$A$191="","",Calcoli!$E$191*100)</f>
        <v>0.174926746588</v>
      </c>
      <c r="L71" s="71" t="str">
        <f>IF(Calcoli!$A$191="","",REPT("█",MAX(0,MIN(40,ROUND(Calcoli!$D$191*40,0)))))</f>
        <v>██████████</v>
      </c>
      <c r="P71" s="1" t="n"/>
      <c r="Q71" s="1" t="n"/>
      <c r="R71" s="1" t="n"/>
      <c r="S71" s="1" t="n"/>
      <c r="T71" s="1" t="n"/>
    </row>
    <row r="72">
      <c r="A72" s="1" t="n"/>
      <c r="B72" s="1" t="n"/>
      <c r="C72" s="1" t="n"/>
      <c r="D72" s="63" t="str">
        <f>Calcoli!$A$192</f>
        <v>Materie prime</v>
      </c>
      <c r="G72" s="69">
        <f>Calcoli!$B$192</f>
        <v>1725.33</v>
      </c>
      <c r="I72" s="35">
        <f>Calcoli!$D$192</f>
        <v>0.101048418411542</v>
      </c>
      <c r="J72" s="36">
        <f>Calcoli!$C$192</f>
        <v>0.1</v>
      </c>
      <c r="K72" s="37">
        <f>IF(Calcoli!$A$192="","",Calcoli!$E$192*100)</f>
        <v>0.104841841154155</v>
      </c>
      <c r="L72" s="71" t="str">
        <f>IF(Calcoli!$A$192="","",REPT("█",MAX(0,MIN(40,ROUND(Calcoli!$D$192*40,0)))))</f>
        <v>████</v>
      </c>
      <c r="P72" s="1" t="n"/>
      <c r="Q72" s="1" t="n"/>
      <c r="R72" s="1" t="n"/>
      <c r="S72" s="1" t="n"/>
      <c r="T72" s="1" t="n"/>
    </row>
    <row r="73">
      <c r="A73" s="1" t="n"/>
      <c r="B73" s="1" t="n"/>
      <c r="C73" s="1" t="n"/>
      <c r="D73" s="63" t="str">
        <f>Calcoli!$A$193</f>
        <v/>
      </c>
      <c r="G73" s="69" t="str">
        <f>Calcoli!$B$193</f>
        <v/>
      </c>
      <c r="I73" s="35" t="str">
        <f>Calcoli!$D$193</f>
        <v/>
      </c>
      <c r="J73" s="36" t="str">
        <f>Calcoli!$C$193</f>
        <v/>
      </c>
      <c r="K73" s="37" t="str">
        <f>IF(Calcoli!$A$193="","",Calcoli!$E$193*100)</f>
        <v/>
      </c>
      <c r="L73" s="71" t="str">
        <f>IF(Calcoli!$A$193="","",REPT("█",MAX(0,MIN(40,ROUND(Calcoli!$D$193*40,0)))))</f>
        <v/>
      </c>
      <c r="P73" s="1" t="n"/>
      <c r="Q73" s="1" t="n"/>
      <c r="R73" s="1" t="n"/>
      <c r="S73" s="1" t="n"/>
      <c r="T73" s="1" t="n"/>
    </row>
    <row r="74">
      <c r="A74" s="1" t="n"/>
      <c r="B74" s="1" t="n"/>
      <c r="C74" s="1" t="n"/>
      <c r="D74" s="63" t="str">
        <f>Calcoli!$A$194</f>
        <v/>
      </c>
      <c r="G74" s="69" t="str">
        <f>Calcoli!$B$194</f>
        <v/>
      </c>
      <c r="I74" s="35" t="str">
        <f>Calcoli!$D$194</f>
        <v/>
      </c>
      <c r="J74" s="36" t="str">
        <f>Calcoli!$C$194</f>
        <v/>
      </c>
      <c r="K74" s="37" t="str">
        <f>IF(Calcoli!$A$194="","",Calcoli!$E$194*100)</f>
        <v/>
      </c>
      <c r="L74" s="71" t="str">
        <f>IF(Calcoli!$A$194="","",REPT("█",MAX(0,MIN(40,ROUND(Calcoli!$D$194*40,0)))))</f>
        <v/>
      </c>
      <c r="P74" s="1" t="n"/>
      <c r="Q74" s="1" t="n"/>
      <c r="R74" s="1" t="n"/>
      <c r="S74" s="1" t="n"/>
      <c r="T74" s="1" t="n"/>
    </row>
    <row r="75">
      <c r="A75" s="1" t="n"/>
      <c r="B75" s="1" t="n"/>
      <c r="C75" s="1" t="n"/>
      <c r="D75" s="63" t="str">
        <f>Calcoli!$A$195</f>
        <v/>
      </c>
      <c r="G75" s="69" t="str">
        <f>Calcoli!$B$195</f>
        <v/>
      </c>
      <c r="I75" s="35" t="str">
        <f>Calcoli!$D$195</f>
        <v/>
      </c>
      <c r="J75" s="36" t="str">
        <f>Calcoli!$C$195</f>
        <v/>
      </c>
      <c r="K75" s="37" t="str">
        <f>IF(Calcoli!$A$195="","",Calcoli!$E$195*100)</f>
        <v/>
      </c>
      <c r="L75" s="71" t="str">
        <f>IF(Calcoli!$A$195="","",REPT("█",MAX(0,MIN(40,ROUND(Calcoli!$D$195*40,0)))))</f>
        <v/>
      </c>
      <c r="P75" s="1" t="n"/>
      <c r="Q75" s="1" t="n"/>
      <c r="R75" s="1" t="n"/>
      <c r="S75" s="1" t="n"/>
      <c r="T75" s="1" t="n"/>
    </row>
    <row r="76">
      <c r="A76" s="1" t="n"/>
      <c r="B76" s="1" t="n"/>
      <c r="C76" s="1" t="n"/>
      <c r="D76" s="63" t="str">
        <f>Calcoli!$A$196</f>
        <v/>
      </c>
      <c r="G76" s="69" t="str">
        <f>Calcoli!$B$196</f>
        <v/>
      </c>
      <c r="I76" s="35" t="str">
        <f>Calcoli!$D$196</f>
        <v/>
      </c>
      <c r="J76" s="36" t="str">
        <f>Calcoli!$C$196</f>
        <v/>
      </c>
      <c r="K76" s="37" t="str">
        <f>IF(Calcoli!$A$196="","",Calcoli!$E$196*100)</f>
        <v/>
      </c>
      <c r="L76" s="71" t="str">
        <f>IF(Calcoli!$A$196="","",REPT("█",MAX(0,MIN(40,ROUND(Calcoli!$D$196*40,0)))))</f>
        <v/>
      </c>
      <c r="P76" s="1" t="n"/>
      <c r="Q76" s="1" t="n"/>
      <c r="R76" s="1" t="n"/>
      <c r="S76" s="1" t="n"/>
      <c r="T76" s="1" t="n"/>
    </row>
    <row r="77">
      <c r="A77" s="1" t="n"/>
      <c r="B77" s="1" t="n"/>
      <c r="C77" s="1" t="n"/>
      <c r="D77" s="63" t="str">
        <f>Calcoli!$A$197</f>
        <v/>
      </c>
      <c r="G77" s="69" t="str">
        <f>Calcoli!$B$197</f>
        <v/>
      </c>
      <c r="I77" s="35" t="str">
        <f>Calcoli!$D$197</f>
        <v/>
      </c>
      <c r="J77" s="36" t="str">
        <f>Calcoli!$C$197</f>
        <v/>
      </c>
      <c r="K77" s="37" t="str">
        <f>IF(Calcoli!$A$197="","",Calcoli!$E$197*100)</f>
        <v/>
      </c>
      <c r="L77" s="71" t="str">
        <f>IF(Calcoli!$A$197="","",REPT("█",MAX(0,MIN(40,ROUND(Calcoli!$D$197*40,0)))))</f>
        <v/>
      </c>
      <c r="P77" s="1" t="n"/>
      <c r="Q77" s="1" t="n"/>
      <c r="R77" s="1" t="n"/>
      <c r="S77" s="1" t="n"/>
      <c r="T77" s="1" t="n"/>
    </row>
    <row r="78">
      <c r="A78" s="1" t="n"/>
      <c r="B78" s="1" t="n"/>
      <c r="C78" s="1" t="n"/>
      <c r="D78" s="63" t="str">
        <f>Calcoli!$A$198</f>
        <v/>
      </c>
      <c r="G78" s="69" t="str">
        <f>Calcoli!$B$198</f>
        <v/>
      </c>
      <c r="I78" s="35" t="str">
        <f>Calcoli!$D$198</f>
        <v/>
      </c>
      <c r="J78" s="36" t="str">
        <f>Calcoli!$C$198</f>
        <v/>
      </c>
      <c r="K78" s="37" t="str">
        <f>IF(Calcoli!$A$198="","",Calcoli!$E$198*100)</f>
        <v/>
      </c>
      <c r="L78" s="71" t="str">
        <f>IF(Calcoli!$A$198="","",REPT("█",MAX(0,MIN(40,ROUND(Calcoli!$D$198*40,0)))))</f>
        <v/>
      </c>
      <c r="P78" s="1" t="n"/>
      <c r="Q78" s="1" t="n"/>
      <c r="R78" s="1" t="n"/>
      <c r="S78" s="1" t="n"/>
      <c r="T78" s="1" t="n"/>
    </row>
    <row r="79">
      <c r="A79" s="1" t="n"/>
      <c r="B79" s="1" t="n"/>
      <c r="C79" s="1" t="n"/>
      <c r="D79" s="63" t="str">
        <f>Calcoli!$A$199</f>
        <v/>
      </c>
      <c r="G79" s="69" t="str">
        <f>Calcoli!$B$199</f>
        <v/>
      </c>
      <c r="I79" s="35" t="str">
        <f>Calcoli!$D$199</f>
        <v/>
      </c>
      <c r="J79" s="36" t="str">
        <f>Calcoli!$C$199</f>
        <v/>
      </c>
      <c r="K79" s="37" t="str">
        <f>IF(Calcoli!$A$199="","",Calcoli!$E$199*100)</f>
        <v/>
      </c>
      <c r="L79" s="71" t="str">
        <f>IF(Calcoli!$A$199="","",REPT("█",MAX(0,MIN(40,ROUND(Calcoli!$D$199*40,0)))))</f>
        <v/>
      </c>
      <c r="P79" s="1" t="n"/>
      <c r="Q79" s="1" t="n"/>
      <c r="R79" s="1" t="n"/>
      <c r="S79" s="1" t="n"/>
      <c r="T79" s="1" t="n"/>
    </row>
    <row r="80">
      <c r="A80" s="1" t="n"/>
      <c r="B80" s="1" t="n"/>
      <c r="C80" s="1" t="n"/>
      <c r="D80" s="63" t="str">
        <f>Calcoli!$A$200</f>
        <v/>
      </c>
      <c r="G80" s="69" t="str">
        <f>Calcoli!$B$200</f>
        <v/>
      </c>
      <c r="I80" s="35" t="str">
        <f>Calcoli!$D$200</f>
        <v/>
      </c>
      <c r="J80" s="36" t="str">
        <f>Calcoli!$C$200</f>
        <v/>
      </c>
      <c r="K80" s="37" t="str">
        <f>IF(Calcoli!$A$200="","",Calcoli!$E$200*100)</f>
        <v/>
      </c>
      <c r="L80" s="71" t="str">
        <f>IF(Calcoli!$A$200="","",REPT("█",MAX(0,MIN(40,ROUND(Calcoli!$D$200*40,0)))))</f>
        <v/>
      </c>
      <c r="P80" s="1" t="n"/>
      <c r="Q80" s="1" t="n"/>
      <c r="R80" s="1" t="n"/>
      <c r="S80" s="1" t="n"/>
      <c r="T80" s="1" t="n"/>
    </row>
    <row r="81">
      <c r="A81" s="1" t="n"/>
      <c r="B81" s="1" t="n"/>
      <c r="C81" s="1" t="n"/>
      <c r="D81" s="21" t="n"/>
      <c r="E81" s="21" t="n"/>
      <c r="F81" s="21" t="n"/>
      <c r="G81" s="21" t="n"/>
      <c r="H81" s="21" t="n"/>
      <c r="I81" s="21" t="n"/>
      <c r="J81" s="21" t="n"/>
      <c r="K81" s="21" t="n"/>
      <c r="L81" s="21" t="n"/>
      <c r="M81" s="21" t="n"/>
      <c r="N81" s="21" t="n"/>
      <c r="O81" s="21" t="n"/>
      <c r="P81" s="1" t="n"/>
      <c r="Q81" s="1" t="n"/>
      <c r="R81" s="1" t="n"/>
      <c r="S81" s="1" t="n"/>
      <c r="T81" s="1" t="n"/>
    </row>
    <row r="82">
      <c r="A82" s="1" t="n"/>
      <c r="B82" s="1" t="n"/>
      <c r="C82" s="1" t="n"/>
      <c r="D82" s="60" t="inlineStr">
        <is>
          <t>È uno strumento per organizzarti, non una consulenza finanziaria. I rendimenti passati non garantiscono quelli futuri.</t>
        </is>
      </c>
      <c r="P82" s="1" t="n"/>
      <c r="Q82" s="1" t="n"/>
      <c r="R82" s="1" t="n"/>
      <c r="S82" s="1" t="n"/>
      <c r="T82" s="1" t="n"/>
    </row>
  </sheetData>
  <mergeCells count="121">
    <mergeCell ref="Q13:R13"/>
    <mergeCell ref="Q29:S29"/>
    <mergeCell ref="D60:E60"/>
    <mergeCell ref="D2:O2"/>
    <mergeCell ref="D76:F76"/>
    <mergeCell ref="Q21:R21"/>
    <mergeCell ref="Q4:S4"/>
    <mergeCell ref="G71:H71"/>
    <mergeCell ref="D75:F75"/>
    <mergeCell ref="D66:O66"/>
    <mergeCell ref="I24:K24"/>
    <mergeCell ref="L77:O77"/>
    <mergeCell ref="D9:F9"/>
    <mergeCell ref="I17:K17"/>
    <mergeCell ref="D61:E61"/>
    <mergeCell ref="Q26:R26"/>
    <mergeCell ref="L75:O75"/>
    <mergeCell ref="G9:I9"/>
    <mergeCell ref="D62:E62"/>
    <mergeCell ref="D56:E56"/>
    <mergeCell ref="Q27:R27"/>
    <mergeCell ref="Q30:R30"/>
    <mergeCell ref="Q17:R17"/>
    <mergeCell ref="Q33:S33"/>
    <mergeCell ref="Q11:R11"/>
    <mergeCell ref="D64:E64"/>
    <mergeCell ref="D80:F80"/>
    <mergeCell ref="M9:O9"/>
    <mergeCell ref="D51:E51"/>
    <mergeCell ref="G75:H75"/>
    <mergeCell ref="L79:O79"/>
    <mergeCell ref="G77:H77"/>
    <mergeCell ref="I22:K22"/>
    <mergeCell ref="Q37:R37"/>
    <mergeCell ref="L72:O72"/>
    <mergeCell ref="I12:K12"/>
    <mergeCell ref="I21:K21"/>
    <mergeCell ref="G70:H70"/>
    <mergeCell ref="Q39:R39"/>
    <mergeCell ref="J7:L7"/>
    <mergeCell ref="I14:K14"/>
    <mergeCell ref="Q23:R23"/>
    <mergeCell ref="Q38:R38"/>
    <mergeCell ref="Q5:S6"/>
    <mergeCell ref="I23:K23"/>
    <mergeCell ref="D74:F74"/>
    <mergeCell ref="Q31:R31"/>
    <mergeCell ref="D53:E53"/>
    <mergeCell ref="Q15:R15"/>
    <mergeCell ref="D5:O5"/>
    <mergeCell ref="Q7:S7"/>
    <mergeCell ref="D69:F69"/>
    <mergeCell ref="I27:K27"/>
    <mergeCell ref="G76:H76"/>
    <mergeCell ref="G8:I8"/>
    <mergeCell ref="D46:O46"/>
    <mergeCell ref="I25:K25"/>
    <mergeCell ref="L69:O69"/>
    <mergeCell ref="D63:E63"/>
    <mergeCell ref="Q35:S35"/>
    <mergeCell ref="D7:F7"/>
    <mergeCell ref="D78:F78"/>
    <mergeCell ref="D65:E65"/>
    <mergeCell ref="L80:O80"/>
    <mergeCell ref="D52:E52"/>
    <mergeCell ref="L70:O70"/>
    <mergeCell ref="D71:F71"/>
    <mergeCell ref="Q27:S27"/>
    <mergeCell ref="D49:E49"/>
    <mergeCell ref="Q20:R20"/>
    <mergeCell ref="Q14:R14"/>
    <mergeCell ref="I20:K20"/>
    <mergeCell ref="D8:F8"/>
    <mergeCell ref="G69:H69"/>
    <mergeCell ref="G78:H78"/>
    <mergeCell ref="D73:F73"/>
    <mergeCell ref="D82:O82"/>
    <mergeCell ref="I13:K13"/>
    <mergeCell ref="G80:H80"/>
    <mergeCell ref="J8:L8"/>
    <mergeCell ref="Q12:S12"/>
    <mergeCell ref="I15:K15"/>
    <mergeCell ref="G79:H79"/>
    <mergeCell ref="G73:H73"/>
    <mergeCell ref="D55:E55"/>
    <mergeCell ref="L74:O74"/>
    <mergeCell ref="Q32:R32"/>
    <mergeCell ref="I26:K26"/>
    <mergeCell ref="D54:E54"/>
    <mergeCell ref="J9:L9"/>
    <mergeCell ref="G7:I7"/>
    <mergeCell ref="L76:O76"/>
    <mergeCell ref="D77:F77"/>
    <mergeCell ref="D6:O6"/>
    <mergeCell ref="Q16:R16"/>
    <mergeCell ref="I16:K16"/>
    <mergeCell ref="Q25:R25"/>
    <mergeCell ref="D70:F70"/>
    <mergeCell ref="Q24:R24"/>
    <mergeCell ref="M7:O7"/>
    <mergeCell ref="Q18:R18"/>
    <mergeCell ref="I18:K18"/>
    <mergeCell ref="D72:F72"/>
    <mergeCell ref="D57:E57"/>
    <mergeCell ref="D4:O4"/>
    <mergeCell ref="M8:O8"/>
    <mergeCell ref="Q19:R19"/>
    <mergeCell ref="Q2:S2"/>
    <mergeCell ref="G74:H74"/>
    <mergeCell ref="I19:K19"/>
    <mergeCell ref="L78:O78"/>
    <mergeCell ref="D79:F79"/>
    <mergeCell ref="Q22:R22"/>
    <mergeCell ref="Q36:R36"/>
    <mergeCell ref="D58:E58"/>
    <mergeCell ref="L71:O71"/>
    <mergeCell ref="Q3:S3"/>
    <mergeCell ref="L73:O73"/>
    <mergeCell ref="D50:E50"/>
    <mergeCell ref="D59:E59"/>
    <mergeCell ref="G72:H72"/>
  </mergeCells>
  <conditionalFormatting sqref="G8">
    <cfRule type="expression" priority="1" dxfId="0">
      <formula>AND(ISNUMBER($G$8),$G$8&lt;0)</formula>
    </cfRule>
    <cfRule type="expression" priority="2" dxfId="1">
      <formula>AND(ISNUMBER($G$8),$G$8&gt;=0)</formula>
    </cfRule>
  </conditionalFormatting>
  <conditionalFormatting sqref="O13:O27">
    <cfRule type="expression" priority="3" dxfId="2">
      <formula>OR($O13="Sopra",$O13="Sotto")</formula>
    </cfRule>
  </conditionalFormatting>
  <conditionalFormatting sqref="N13:N27">
    <cfRule type="expression" priority="4" dxfId="2">
      <formula>AND(ISNUMBER($N13),ABS($N13)&gt;Impostazioni!$B$8*100)</formula>
    </cfRule>
  </conditionalFormatting>
  <conditionalFormatting sqref="K50:L64">
    <cfRule type="expression" priority="5" dxfId="2">
      <formula>AND(ISNUMBER(K50),K50&lt;0)</formula>
    </cfRule>
    <cfRule type="expression" priority="6" dxfId="3">
      <formula>AND(ISNUMBER(K50),K50&gt;0)</formula>
    </cfRule>
  </conditionalFormatting>
  <hyperlinks>
    <hyperlink ref="Q3" location="'ETF'!A1" display="aggiorna i prezzi nel foglio ETF"/>
    <hyperlink ref="B4" location="'Riepilogo'!A1" display="   📊   Riepilogo"/>
    <hyperlink ref="B5" location="'Ribilanciamento'!A1" display="   ⚖   Ribilanciamento"/>
    <hyperlink ref="B6" location="'Dividendi'!A1" display="   💶   Dividendi"/>
    <hyperlink ref="B9" location="'ETF'!A1" display="   ▸  ETF"/>
    <hyperlink ref="B10" location="'Movimenti'!A1" display="   ✎  Movimenti"/>
    <hyperlink ref="B11" location="'Storico'!A1" display="   ▸  Storico"/>
    <hyperlink ref="B12" location="'Impostazioni'!A1" display="   ⚙  Impostazioni"/>
    <hyperlink ref="B13" location="'Inizia qui'!A1" display="   ?  Guida"/>
    <hyperlink ref="Q27" location="'Ribilanciamento'!A1" display="   ⚖  Calcola il ribilanciamento"/>
    <hyperlink ref="Q33" location="'Dividendi'!A1" display="   💶  Storico dei dividendi"/>
  </hyperlinks>
  <pageMargins left="0.75" right="0.75" top="1" bottom="1" header="0.5" footer="0.5"/>
  <pageSetup orientation="portrait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747B8"/>
    <outlinePr summaryBelow="1" summaryRight="1"/>
    <pageSetUpPr fitToPage="1"/>
  </sheetPr>
  <dimension ref="A1:T5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.5" customWidth="1" min="1" max="1"/>
    <col width="22" customWidth="1" min="2" max="2"/>
    <col width="1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.5" customWidth="1" min="16" max="16"/>
    <col width="12" customWidth="1" min="17" max="17"/>
    <col width="12" customWidth="1" min="18" max="18"/>
    <col width="12" customWidth="1" min="19" max="19"/>
    <col width="1.5" customWidth="1" min="20" max="20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2" t="inlineStr">
        <is>
          <t>◔  PORTAFOGLIO ETF</t>
        </is>
      </c>
      <c r="C2" s="1" t="n"/>
      <c r="D2" s="13" t="inlineStr">
        <is>
          <t>Portafoglio ETF e ribilanciamento</t>
        </is>
      </c>
      <c r="P2" s="1" t="n"/>
      <c r="Q2" s="1" t="n"/>
      <c r="R2" s="1" t="n"/>
      <c r="S2" s="1" t="n"/>
      <c r="T2" s="1" t="n"/>
    </row>
    <row r="3" ht="16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 ht="26" customHeight="1">
      <c r="A4" s="1" t="n"/>
      <c r="B4" s="19" t="inlineStr">
        <is>
          <t xml:space="preserve">   📊   Riepilogo</t>
        </is>
      </c>
      <c r="C4" s="1" t="n"/>
      <c r="D4" s="17" t="inlineStr">
        <is>
          <t>Ribilanciamento</t>
        </is>
      </c>
      <c r="P4" s="1" t="n"/>
      <c r="Q4" s="18" t="inlineStr">
        <is>
          <t>FUORI SOGLIA</t>
        </is>
      </c>
      <c r="T4" s="1" t="n"/>
    </row>
    <row r="5" ht="24" customHeight="1">
      <c r="A5" s="1" t="n"/>
      <c r="B5" s="16" t="inlineStr">
        <is>
          <t xml:space="preserve">   ⚖   Ribilanciamento</t>
        </is>
      </c>
      <c r="C5" s="1" t="n"/>
      <c r="D5" s="72" t="inlineStr">
        <is>
          <t>Scrivi quanto vuoi investire: il template ti dice quanto comprare di ogni ETF per avvicinarti ai pesi obiettivo, senza vendere niente.</t>
        </is>
      </c>
      <c r="P5" s="1" t="n"/>
      <c r="Q5" s="73" t="str">
        <f>IF(Calcoli!$B$43=0,"–",IF(Calcoli!$B$41=0,"✓ In equilibrio",Calcoli!$B$41&amp;IF(Calcoli!$B$41=1," ETF"," ETF")))</f>
        <v>✓ In equilibrio</v>
      </c>
      <c r="T5" s="1" t="n"/>
    </row>
    <row r="6" ht="24" customHeight="1">
      <c r="A6" s="1" t="n"/>
      <c r="B6" s="19" t="inlineStr">
        <is>
          <t xml:space="preserve">   💶   Dividendi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T6" s="1" t="n"/>
    </row>
    <row r="7" ht="24" customHeight="1">
      <c r="A7" s="1" t="n"/>
      <c r="B7" s="21" t="n"/>
      <c r="C7" s="1" t="n"/>
      <c r="D7" s="74" t="inlineStr">
        <is>
          <t xml:space="preserve">   PROSSIMO VERSAMENTO</t>
        </is>
      </c>
      <c r="G7" s="75" t="n">
        <v>400</v>
      </c>
      <c r="H7" s="76" t="n"/>
      <c r="I7" s="64" t="inlineStr">
        <is>
          <t>← le celle gialle sono da compilare</t>
        </is>
      </c>
      <c r="P7" s="1" t="n"/>
      <c r="Q7" s="23" t="str">
        <f>"soglia: "&amp;ROUND(Impostazioni!$B$8*100,1)&amp;" punti"</f>
        <v>soglia: 5 punti</v>
      </c>
      <c r="T7" s="1" t="n"/>
    </row>
    <row r="8" ht="24" customHeight="1">
      <c r="A8" s="1" t="n"/>
      <c r="B8" s="24" t="inlineStr">
        <is>
          <t xml:space="preserve">   INSERISCI I DATI</t>
        </is>
      </c>
      <c r="C8" s="1" t="n"/>
      <c r="D8" s="74" t="inlineStr">
        <is>
          <t xml:space="preserve">   SOLO QUOTE INTERE?</t>
        </is>
      </c>
      <c r="G8" s="77" t="inlineStr">
        <is>
          <t>Sì</t>
        </is>
      </c>
      <c r="H8" s="76" t="n"/>
      <c r="I8" s="64" t="inlineStr">
        <is>
          <t>«No» se il tuo broker ti fa comprare frazioni di quota</t>
        </is>
      </c>
      <c r="P8" s="1" t="n"/>
      <c r="Q8" s="78" t="inlineStr">
        <is>
          <t>cambiala nelle Impostazioni</t>
        </is>
      </c>
      <c r="T8" s="1" t="n"/>
    </row>
    <row r="9" ht="24" customHeight="1">
      <c r="A9" s="1" t="n"/>
      <c r="B9" s="29" t="inlineStr">
        <is>
          <t xml:space="preserve">   ▸  ETF</t>
        </is>
      </c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21" t="n"/>
      <c r="R9" s="21" t="n"/>
      <c r="S9" s="21" t="n"/>
      <c r="T9" s="1" t="n"/>
    </row>
    <row r="10" ht="24" customHeight="1">
      <c r="A10" s="1" t="n"/>
      <c r="B10" s="29" t="inlineStr">
        <is>
          <t xml:space="preserve">   ✎  Movimenti</t>
        </is>
      </c>
      <c r="C10" s="1" t="n"/>
      <c r="D10" s="22" t="inlineStr">
        <is>
          <t>DA INVESTIRE</t>
        </is>
      </c>
      <c r="G10" s="22" t="inlineStr">
        <is>
          <t>INVESTITI</t>
        </is>
      </c>
      <c r="J10" s="22" t="inlineStr">
        <is>
          <t>RESTANO</t>
        </is>
      </c>
      <c r="M10" s="22" t="inlineStr">
        <is>
          <t>COMMISSIONI STIMATE</t>
        </is>
      </c>
      <c r="P10" s="1" t="n"/>
      <c r="Q10" s="1" t="n"/>
      <c r="R10" s="1" t="n"/>
      <c r="S10" s="1" t="n"/>
      <c r="T10" s="1" t="n"/>
    </row>
    <row r="11" ht="24" customHeight="1">
      <c r="A11" s="1" t="n"/>
      <c r="B11" s="29" t="inlineStr">
        <is>
          <t xml:space="preserve">   ▸  Storico</t>
        </is>
      </c>
      <c r="C11" s="1" t="n"/>
      <c r="D11" s="25">
        <f>Calcoli!$B$48</f>
        <v>400</v>
      </c>
      <c r="G11" s="79">
        <f>Calcoli!$B$120</f>
        <v>374.82</v>
      </c>
      <c r="J11" s="80">
        <f>Calcoli!$B$122</f>
        <v>25.18</v>
      </c>
      <c r="M11" s="81">
        <f>Calcoli!$B$124</f>
        <v>3</v>
      </c>
      <c r="P11" s="1" t="n"/>
      <c r="Q11" s="24" t="inlineStr">
        <is>
          <t>COME FUNZIONA</t>
        </is>
      </c>
      <c r="T11" s="1" t="n"/>
    </row>
    <row r="12" ht="24" customHeight="1">
      <c r="A12" s="1" t="n"/>
      <c r="B12" s="29" t="inlineStr">
        <is>
          <t xml:space="preserve">   ⚙  Impostazioni</t>
        </is>
      </c>
      <c r="C12" s="1" t="n"/>
      <c r="D12" s="30" t="str">
        <f>"ETF attivi: "&amp;Calcoli!$B$43</f>
        <v>ETF attivi: 4</v>
      </c>
      <c r="G12" s="30" t="str">
        <f>"in "&amp;Calcoli!$B$123&amp;IF(Calcoli!$B$123=1," ordine"," ordini")</f>
        <v>in 3 ordini</v>
      </c>
      <c r="J12" s="30" t="str">
        <f>IF(Ribilanciamento!$G$8="Sì","non bastano per un’altra quota","da investire la prossima volta")</f>
        <v>non bastano per un’altra quota</v>
      </c>
      <c r="M12" s="30" t="str">
        <f>IF(Calcoli!$B$48&gt;0,ROUND(Calcoli!$B$124/Calcoli!$B$48*100,1)&amp;"% del versamento","")</f>
        <v>0.8% del versamento</v>
      </c>
      <c r="P12" s="1" t="n"/>
      <c r="Q12" s="82" t="inlineStr">
        <is>
          <t>1. Il versamento si somma al portafoglio: è il nuovo totale da dividere secondo i pesi obiettivo.</t>
        </is>
      </c>
      <c r="T12" s="1" t="n"/>
    </row>
    <row r="13">
      <c r="A13" s="1" t="n"/>
      <c r="B13" s="29" t="inlineStr">
        <is>
          <t xml:space="preserve">   ?  Guida</t>
        </is>
      </c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T13" s="1" t="n"/>
    </row>
    <row r="14" ht="26" customHeight="1">
      <c r="A14" s="1" t="n"/>
      <c r="B14" s="21" t="n"/>
      <c r="C14" s="1" t="n"/>
      <c r="D14" s="6" t="inlineStr">
        <is>
          <t>Con il prossimo versamento, senza vendere</t>
        </is>
      </c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1" t="n"/>
      <c r="T14" s="1" t="n"/>
    </row>
    <row r="15">
      <c r="A15" s="1" t="n"/>
      <c r="B15" s="21" t="n"/>
      <c r="C15" s="1" t="n"/>
      <c r="D15" s="24" t="inlineStr">
        <is>
          <t>ETF</t>
        </is>
      </c>
      <c r="G15" s="32" t="inlineStr">
        <is>
          <t>PESO ORA</t>
        </is>
      </c>
      <c r="H15" s="32" t="inlineStr">
        <is>
          <t>OBIETTIVO</t>
        </is>
      </c>
      <c r="I15" s="32" t="inlineStr">
        <is>
          <t>COMPRA</t>
        </is>
      </c>
      <c r="K15" s="32" t="inlineStr">
        <is>
          <t>QUOTE</t>
        </is>
      </c>
      <c r="L15" s="32" t="inlineStr">
        <is>
          <t>PESO DOPO</t>
        </is>
      </c>
      <c r="M15" s="32" t="inlineStr">
        <is>
          <t>SCOSTAM.</t>
        </is>
      </c>
      <c r="N15" s="24" t="inlineStr"/>
      <c r="P15" s="1" t="n"/>
      <c r="Q15" s="82" t="inlineStr">
        <is>
          <t>2. Gli ETF già sopra l’obiettivo non ricevono niente: venderli costerebbe tasse e commissioni.</t>
        </is>
      </c>
      <c r="T15" s="1" t="n"/>
    </row>
    <row r="16" ht="19" customHeight="1">
      <c r="A16" s="1" t="n"/>
      <c r="B16" s="21" t="n"/>
      <c r="C16" s="1" t="n"/>
      <c r="D16" s="83" t="str">
        <f>Calcoli!$C$140</f>
        <v>Azionario Mondo</v>
      </c>
      <c r="G16" s="84">
        <f>Calcoli!$E$140</f>
        <v>0.549499862073328</v>
      </c>
      <c r="H16" s="84">
        <f>Calcoli!$F$140</f>
        <v>0.5525</v>
      </c>
      <c r="I16" s="85">
        <f>Calcoli!$I$140</f>
        <v>226.08</v>
      </c>
      <c r="K16" s="86">
        <f>Calcoli!$J$140</f>
        <v>2</v>
      </c>
      <c r="L16" s="84">
        <f>Calcoli!$K$140</f>
        <v>0.550652726700674</v>
      </c>
      <c r="M16" s="87">
        <f>IF(Calcoli!$C$140="","",Calcoli!$L$140*100)</f>
        <v>-0.184727329932588</v>
      </c>
      <c r="N16" s="71" t="str">
        <f>IF(Calcoli!$C$140="","",REPT("█",MAX(0,MIN(20,ROUND(Calcoli!$K$140*20,0)))))</f>
        <v>███████████</v>
      </c>
      <c r="P16" s="1" t="n"/>
      <c r="T16" s="1" t="n"/>
    </row>
    <row r="17" ht="19" customHeight="1">
      <c r="A17" s="1" t="n"/>
      <c r="B17" s="21" t="n"/>
      <c r="C17" s="1" t="n"/>
      <c r="D17" s="83" t="str">
        <f>Calcoli!$C$141</f>
        <v>Azionario Emergenti</v>
      </c>
      <c r="G17" s="84">
        <f>Calcoli!$E$141</f>
        <v>0.0977024520492507</v>
      </c>
      <c r="H17" s="84">
        <f>Calcoli!$F$141</f>
        <v>0.0975</v>
      </c>
      <c r="I17" s="85">
        <f>Calcoli!$I$141</f>
        <v>43.9</v>
      </c>
      <c r="K17" s="86">
        <f>Calcoli!$J$141</f>
        <v>1</v>
      </c>
      <c r="L17" s="84">
        <f>Calcoli!$K$141</f>
        <v>0.0981196175621565</v>
      </c>
      <c r="M17" s="87">
        <f>IF(Calcoli!$C$141="","",Calcoli!$L$141*100)</f>
        <v>0.0619617562156463</v>
      </c>
      <c r="N17" s="71" t="str">
        <f>IF(Calcoli!$C$141="","",REPT("█",MAX(0,MIN(20,ROUND(Calcoli!$K$141*20,0)))))</f>
        <v>██</v>
      </c>
      <c r="P17" s="1" t="n"/>
      <c r="T17" s="1" t="n"/>
    </row>
    <row r="18" ht="19" customHeight="1">
      <c r="A18" s="1" t="n"/>
      <c r="B18" s="21" t="n"/>
      <c r="C18" s="1" t="n"/>
      <c r="D18" s="83" t="str">
        <f>Calcoli!$C$142</f>
        <v>Titoli di Stato Euro</v>
      </c>
      <c r="G18" s="84">
        <f>Calcoli!$E$142</f>
        <v>0.25174926746588</v>
      </c>
      <c r="H18" s="84">
        <f>Calcoli!$F$142</f>
        <v>0.25</v>
      </c>
      <c r="I18" s="85">
        <f>Calcoli!$I$142</f>
        <v>104.84</v>
      </c>
      <c r="K18" s="86">
        <f>Calcoli!$J$142</f>
        <v>1</v>
      </c>
      <c r="L18" s="84">
        <f>Calcoli!$K$142</f>
        <v>0.252349833315281</v>
      </c>
      <c r="M18" s="87">
        <f>IF(Calcoli!$C$142="","",Calcoli!$L$142*100)</f>
        <v>0.234983331528088</v>
      </c>
      <c r="N18" s="71" t="str">
        <f>IF(Calcoli!$C$142="","",REPT("█",MAX(0,MIN(20,ROUND(Calcoli!$K$142*20,0)))))</f>
        <v>█████</v>
      </c>
      <c r="P18" s="1" t="n"/>
      <c r="Q18" s="82" t="inlineStr">
        <is>
          <t>3. Gli altri ricevono quanto serve per arrivare tutti allo stesso livello rispetto al loro obiettivo.</t>
        </is>
      </c>
      <c r="T18" s="1" t="n"/>
    </row>
    <row r="19" ht="19" customHeight="1">
      <c r="A19" s="1" t="n"/>
      <c r="B19" s="21" t="n"/>
      <c r="C19" s="1" t="n"/>
      <c r="D19" s="83" t="str">
        <f>Calcoli!$C$143</f>
        <v>Oro</v>
      </c>
      <c r="G19" s="84">
        <f>Calcoli!$E$143</f>
        <v>0.101048418411542</v>
      </c>
      <c r="H19" s="84">
        <f>Calcoli!$F$143</f>
        <v>0.1</v>
      </c>
      <c r="I19" s="85">
        <f>Calcoli!$I$143</f>
        <v>0</v>
      </c>
      <c r="K19" s="86">
        <f>Calcoli!$J$143</f>
        <v>0</v>
      </c>
      <c r="L19" s="84">
        <f>Calcoli!$K$143</f>
        <v>0.0988778224218886</v>
      </c>
      <c r="M19" s="87">
        <f>IF(Calcoli!$C$143="","",Calcoli!$L$143*100)</f>
        <v>-0.112217757811145</v>
      </c>
      <c r="N19" s="71" t="str">
        <f>IF(Calcoli!$C$143="","",REPT("█",MAX(0,MIN(20,ROUND(Calcoli!$K$143*20,0)))))</f>
        <v>██</v>
      </c>
      <c r="P19" s="1" t="n"/>
      <c r="T19" s="1" t="n"/>
    </row>
    <row r="20" ht="19" customHeight="1">
      <c r="A20" s="1" t="n"/>
      <c r="B20" s="21" t="n"/>
      <c r="C20" s="1" t="n"/>
      <c r="D20" s="83" t="str">
        <f>Calcoli!$C$144</f>
        <v/>
      </c>
      <c r="G20" s="84" t="str">
        <f>Calcoli!$E$144</f>
        <v/>
      </c>
      <c r="H20" s="84" t="str">
        <f>Calcoli!$F$144</f>
        <v/>
      </c>
      <c r="I20" s="85" t="str">
        <f>Calcoli!$I$144</f>
        <v/>
      </c>
      <c r="K20" s="86" t="str">
        <f>Calcoli!$J$144</f>
        <v/>
      </c>
      <c r="L20" s="84" t="str">
        <f>Calcoli!$K$144</f>
        <v/>
      </c>
      <c r="M20" s="87" t="str">
        <f>IF(Calcoli!$C$144="","",Calcoli!$L$144*100)</f>
        <v/>
      </c>
      <c r="N20" s="71" t="str">
        <f>IF(Calcoli!$C$144="","",REPT("█",MAX(0,MIN(20,ROUND(Calcoli!$K$144*20,0)))))</f>
        <v/>
      </c>
      <c r="P20" s="1" t="n"/>
      <c r="T20" s="1" t="n"/>
    </row>
    <row r="21" ht="19" customHeight="1">
      <c r="A21" s="1" t="n"/>
      <c r="B21" s="21" t="n"/>
      <c r="C21" s="1" t="n"/>
      <c r="D21" s="83" t="str">
        <f>Calcoli!$C$145</f>
        <v/>
      </c>
      <c r="G21" s="84" t="str">
        <f>Calcoli!$E$145</f>
        <v/>
      </c>
      <c r="H21" s="84" t="str">
        <f>Calcoli!$F$145</f>
        <v/>
      </c>
      <c r="I21" s="85" t="str">
        <f>Calcoli!$I$145</f>
        <v/>
      </c>
      <c r="K21" s="86" t="str">
        <f>Calcoli!$J$145</f>
        <v/>
      </c>
      <c r="L21" s="84" t="str">
        <f>Calcoli!$K$145</f>
        <v/>
      </c>
      <c r="M21" s="87" t="str">
        <f>IF(Calcoli!$C$145="","",Calcoli!$L$145*100)</f>
        <v/>
      </c>
      <c r="N21" s="71" t="str">
        <f>IF(Calcoli!$C$145="","",REPT("█",MAX(0,MIN(20,ROUND(Calcoli!$K$145*20,0)))))</f>
        <v/>
      </c>
      <c r="P21" s="1" t="n"/>
      <c r="Q21" s="82" t="inlineStr">
        <is>
          <t>4. Con le quote intere si arrotonda per difetto; i soldi che avanzano comprano una quota in più dove manca di più, finché bastano.</t>
        </is>
      </c>
      <c r="T21" s="1" t="n"/>
    </row>
    <row r="22" ht="19" customHeight="1">
      <c r="A22" s="1" t="n"/>
      <c r="B22" s="21" t="n"/>
      <c r="C22" s="1" t="n"/>
      <c r="D22" s="83" t="str">
        <f>Calcoli!$C$146</f>
        <v/>
      </c>
      <c r="G22" s="84" t="str">
        <f>Calcoli!$E$146</f>
        <v/>
      </c>
      <c r="H22" s="84" t="str">
        <f>Calcoli!$F$146</f>
        <v/>
      </c>
      <c r="I22" s="85" t="str">
        <f>Calcoli!$I$146</f>
        <v/>
      </c>
      <c r="K22" s="86" t="str">
        <f>Calcoli!$J$146</f>
        <v/>
      </c>
      <c r="L22" s="84" t="str">
        <f>Calcoli!$K$146</f>
        <v/>
      </c>
      <c r="M22" s="87" t="str">
        <f>IF(Calcoli!$C$146="","",Calcoli!$L$146*100)</f>
        <v/>
      </c>
      <c r="N22" s="71" t="str">
        <f>IF(Calcoli!$C$146="","",REPT("█",MAX(0,MIN(20,ROUND(Calcoli!$K$146*20,0)))))</f>
        <v/>
      </c>
      <c r="P22" s="1" t="n"/>
      <c r="T22" s="1" t="n"/>
    </row>
    <row r="23" ht="19" customHeight="1">
      <c r="A23" s="1" t="n"/>
      <c r="B23" s="21" t="n"/>
      <c r="C23" s="1" t="n"/>
      <c r="D23" s="83" t="str">
        <f>Calcoli!$C$147</f>
        <v/>
      </c>
      <c r="G23" s="84" t="str">
        <f>Calcoli!$E$147</f>
        <v/>
      </c>
      <c r="H23" s="84" t="str">
        <f>Calcoli!$F$147</f>
        <v/>
      </c>
      <c r="I23" s="85" t="str">
        <f>Calcoli!$I$147</f>
        <v/>
      </c>
      <c r="K23" s="86" t="str">
        <f>Calcoli!$J$147</f>
        <v/>
      </c>
      <c r="L23" s="84" t="str">
        <f>Calcoli!$K$147</f>
        <v/>
      </c>
      <c r="M23" s="87" t="str">
        <f>IF(Calcoli!$C$147="","",Calcoli!$L$147*100)</f>
        <v/>
      </c>
      <c r="N23" s="71" t="str">
        <f>IF(Calcoli!$C$147="","",REPT("█",MAX(0,MIN(20,ROUND(Calcoli!$K$147*20,0)))))</f>
        <v/>
      </c>
      <c r="P23" s="1" t="n"/>
      <c r="T23" s="1" t="n"/>
    </row>
    <row r="24" ht="19" customHeight="1">
      <c r="A24" s="1" t="n"/>
      <c r="B24" s="21" t="n"/>
      <c r="C24" s="1" t="n"/>
      <c r="D24" s="83" t="str">
        <f>Calcoli!$C$148</f>
        <v/>
      </c>
      <c r="G24" s="84" t="str">
        <f>Calcoli!$E$148</f>
        <v/>
      </c>
      <c r="H24" s="84" t="str">
        <f>Calcoli!$F$148</f>
        <v/>
      </c>
      <c r="I24" s="85" t="str">
        <f>Calcoli!$I$148</f>
        <v/>
      </c>
      <c r="K24" s="86" t="str">
        <f>Calcoli!$J$148</f>
        <v/>
      </c>
      <c r="L24" s="84" t="str">
        <f>Calcoli!$K$148</f>
        <v/>
      </c>
      <c r="M24" s="87" t="str">
        <f>IF(Calcoli!$C$148="","",Calcoli!$L$148*100)</f>
        <v/>
      </c>
      <c r="N24" s="71" t="str">
        <f>IF(Calcoli!$C$148="","",REPT("█",MAX(0,MIN(20,ROUND(Calcoli!$K$148*20,0)))))</f>
        <v/>
      </c>
      <c r="P24" s="1" t="n"/>
      <c r="Q24" s="21" t="n"/>
      <c r="R24" s="21" t="n"/>
      <c r="S24" s="21" t="n"/>
      <c r="T24" s="1" t="n"/>
    </row>
    <row r="25" ht="19" customHeight="1">
      <c r="A25" s="1" t="n"/>
      <c r="B25" s="52" t="inlineStr">
        <is>
          <t xml:space="preserve">   mondofinanziario.com</t>
        </is>
      </c>
      <c r="C25" s="1" t="n"/>
      <c r="D25" s="83" t="str">
        <f>Calcoli!$C$149</f>
        <v/>
      </c>
      <c r="G25" s="84" t="str">
        <f>Calcoli!$E$149</f>
        <v/>
      </c>
      <c r="H25" s="84" t="str">
        <f>Calcoli!$F$149</f>
        <v/>
      </c>
      <c r="I25" s="85" t="str">
        <f>Calcoli!$I$149</f>
        <v/>
      </c>
      <c r="K25" s="86" t="str">
        <f>Calcoli!$J$149</f>
        <v/>
      </c>
      <c r="L25" s="84" t="str">
        <f>Calcoli!$K$149</f>
        <v/>
      </c>
      <c r="M25" s="87" t="str">
        <f>IF(Calcoli!$C$149="","",Calcoli!$L$149*100)</f>
        <v/>
      </c>
      <c r="N25" s="71" t="str">
        <f>IF(Calcoli!$C$149="","",REPT("█",MAX(0,MIN(20,ROUND(Calcoli!$K$149*20,0)))))</f>
        <v/>
      </c>
      <c r="P25" s="1" t="n"/>
      <c r="Q25" s="21" t="n"/>
      <c r="R25" s="21" t="n"/>
      <c r="S25" s="21" t="n"/>
      <c r="T25" s="1" t="n"/>
    </row>
    <row r="26" ht="19" customHeight="1">
      <c r="A26" s="1" t="n"/>
      <c r="B26" s="21" t="n"/>
      <c r="C26" s="1" t="n"/>
      <c r="D26" s="83" t="str">
        <f>Calcoli!$C$150</f>
        <v/>
      </c>
      <c r="G26" s="84" t="str">
        <f>Calcoli!$E$150</f>
        <v/>
      </c>
      <c r="H26" s="84" t="str">
        <f>Calcoli!$F$150</f>
        <v/>
      </c>
      <c r="I26" s="85" t="str">
        <f>Calcoli!$I$150</f>
        <v/>
      </c>
      <c r="K26" s="86" t="str">
        <f>Calcoli!$J$150</f>
        <v/>
      </c>
      <c r="L26" s="84" t="str">
        <f>Calcoli!$K$150</f>
        <v/>
      </c>
      <c r="M26" s="87" t="str">
        <f>IF(Calcoli!$C$150="","",Calcoli!$L$150*100)</f>
        <v/>
      </c>
      <c r="N26" s="71" t="str">
        <f>IF(Calcoli!$C$150="","",REPT("█",MAX(0,MIN(20,ROUND(Calcoli!$K$150*20,0)))))</f>
        <v/>
      </c>
      <c r="P26" s="1" t="n"/>
      <c r="Q26" s="21" t="n"/>
      <c r="R26" s="21" t="n"/>
      <c r="S26" s="21" t="n"/>
      <c r="T26" s="1" t="n"/>
    </row>
    <row r="27" ht="19" customHeight="1">
      <c r="A27" s="1" t="n"/>
      <c r="B27" s="1" t="n"/>
      <c r="C27" s="1" t="n"/>
      <c r="D27" s="83" t="str">
        <f>Calcoli!$C$151</f>
        <v/>
      </c>
      <c r="G27" s="84" t="str">
        <f>Calcoli!$E$151</f>
        <v/>
      </c>
      <c r="H27" s="84" t="str">
        <f>Calcoli!$F$151</f>
        <v/>
      </c>
      <c r="I27" s="85" t="str">
        <f>Calcoli!$I$151</f>
        <v/>
      </c>
      <c r="K27" s="86" t="str">
        <f>Calcoli!$J$151</f>
        <v/>
      </c>
      <c r="L27" s="84" t="str">
        <f>Calcoli!$K$151</f>
        <v/>
      </c>
      <c r="M27" s="87" t="str">
        <f>IF(Calcoli!$C$151="","",Calcoli!$L$151*100)</f>
        <v/>
      </c>
      <c r="N27" s="71" t="str">
        <f>IF(Calcoli!$C$151="","",REPT("█",MAX(0,MIN(20,ROUND(Calcoli!$K$151*20,0)))))</f>
        <v/>
      </c>
      <c r="P27" s="1" t="n"/>
      <c r="Q27" s="1" t="n"/>
      <c r="R27" s="1" t="n"/>
      <c r="S27" s="1" t="n"/>
      <c r="T27" s="1" t="n"/>
    </row>
    <row r="28" ht="19" customHeight="1">
      <c r="A28" s="1" t="n"/>
      <c r="B28" s="1" t="n"/>
      <c r="C28" s="1" t="n"/>
      <c r="D28" s="83" t="str">
        <f>Calcoli!$C$152</f>
        <v/>
      </c>
      <c r="G28" s="84" t="str">
        <f>Calcoli!$E$152</f>
        <v/>
      </c>
      <c r="H28" s="84" t="str">
        <f>Calcoli!$F$152</f>
        <v/>
      </c>
      <c r="I28" s="85" t="str">
        <f>Calcoli!$I$152</f>
        <v/>
      </c>
      <c r="K28" s="86" t="str">
        <f>Calcoli!$J$152</f>
        <v/>
      </c>
      <c r="L28" s="84" t="str">
        <f>Calcoli!$K$152</f>
        <v/>
      </c>
      <c r="M28" s="87" t="str">
        <f>IF(Calcoli!$C$152="","",Calcoli!$L$152*100)</f>
        <v/>
      </c>
      <c r="N28" s="71" t="str">
        <f>IF(Calcoli!$C$152="","",REPT("█",MAX(0,MIN(20,ROUND(Calcoli!$K$152*20,0)))))</f>
        <v/>
      </c>
      <c r="P28" s="1" t="n"/>
      <c r="Q28" s="1" t="n"/>
      <c r="R28" s="1" t="n"/>
      <c r="S28" s="1" t="n"/>
      <c r="T28" s="1" t="n"/>
    </row>
    <row r="29" ht="19" customHeight="1">
      <c r="A29" s="1" t="n"/>
      <c r="B29" s="1" t="n"/>
      <c r="C29" s="1" t="n"/>
      <c r="D29" s="83" t="str">
        <f>Calcoli!$C$153</f>
        <v/>
      </c>
      <c r="G29" s="84" t="str">
        <f>Calcoli!$E$153</f>
        <v/>
      </c>
      <c r="H29" s="84" t="str">
        <f>Calcoli!$F$153</f>
        <v/>
      </c>
      <c r="I29" s="85" t="str">
        <f>Calcoli!$I$153</f>
        <v/>
      </c>
      <c r="K29" s="86" t="str">
        <f>Calcoli!$J$153</f>
        <v/>
      </c>
      <c r="L29" s="84" t="str">
        <f>Calcoli!$K$153</f>
        <v/>
      </c>
      <c r="M29" s="87" t="str">
        <f>IF(Calcoli!$C$153="","",Calcoli!$L$153*100)</f>
        <v/>
      </c>
      <c r="N29" s="71" t="str">
        <f>IF(Calcoli!$C$153="","",REPT("█",MAX(0,MIN(20,ROUND(Calcoli!$K$153*20,0)))))</f>
        <v/>
      </c>
      <c r="P29" s="1" t="n"/>
      <c r="Q29" s="1" t="n"/>
      <c r="R29" s="1" t="n"/>
      <c r="S29" s="1" t="n"/>
      <c r="T29" s="1" t="n"/>
    </row>
    <row r="30" ht="19" customHeight="1">
      <c r="A30" s="1" t="n"/>
      <c r="B30" s="1" t="n"/>
      <c r="C30" s="1" t="n"/>
      <c r="D30" s="83" t="str">
        <f>Calcoli!$C$154</f>
        <v/>
      </c>
      <c r="G30" s="84" t="str">
        <f>Calcoli!$E$154</f>
        <v/>
      </c>
      <c r="H30" s="84" t="str">
        <f>Calcoli!$F$154</f>
        <v/>
      </c>
      <c r="I30" s="85" t="str">
        <f>Calcoli!$I$154</f>
        <v/>
      </c>
      <c r="K30" s="86" t="str">
        <f>Calcoli!$J$154</f>
        <v/>
      </c>
      <c r="L30" s="84" t="str">
        <f>Calcoli!$K$154</f>
        <v/>
      </c>
      <c r="M30" s="87" t="str">
        <f>IF(Calcoli!$C$154="","",Calcoli!$L$154*100)</f>
        <v/>
      </c>
      <c r="N30" s="71" t="str">
        <f>IF(Calcoli!$C$154="","",REPT("█",MAX(0,MIN(20,ROUND(Calcoli!$K$154*20,0)))))</f>
        <v/>
      </c>
      <c r="P30" s="1" t="n"/>
      <c r="Q30" s="1" t="n"/>
      <c r="R30" s="1" t="n"/>
      <c r="S30" s="1" t="n"/>
      <c r="T30" s="1" t="n"/>
    </row>
    <row r="31">
      <c r="A31" s="1" t="n"/>
      <c r="B31" s="1" t="n"/>
      <c r="C31" s="1" t="n"/>
      <c r="D31" s="42" t="str">
        <f>"Per tornare esattamente ai pesi obiettivo senza vendere servirebbe un versamento di "&amp;FIXED(Calcoli!$B$45,0)&amp;" €."</f>
        <v>Per tornare esattamente ai pesi obiettivo senza vendere servirebbe un versamento di 179 €.</v>
      </c>
      <c r="P31" s="1" t="n"/>
      <c r="Q31" s="1" t="n"/>
      <c r="R31" s="1" t="n"/>
      <c r="S31" s="1" t="n"/>
      <c r="T31" s="1" t="n"/>
    </row>
    <row r="32">
      <c r="A32" s="1" t="n"/>
      <c r="B32" s="1" t="n"/>
      <c r="C32" s="1" t="n"/>
      <c r="D32" s="52" t="inlineStr">
        <is>
          <t>Il calcolo lascia fermi gli ETF sopra l’obiettivo e porta gli altri tutti allo stesso livello; con le quote intere, i soldi che avanzano comprano una quota in più dove manca di più.</t>
        </is>
      </c>
      <c r="P32" s="1" t="n"/>
      <c r="Q32" s="1" t="n"/>
      <c r="R32" s="1" t="n"/>
      <c r="S32" s="1" t="n"/>
      <c r="T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</row>
    <row r="34" ht="26" customHeight="1">
      <c r="A34" s="1" t="n"/>
      <c r="B34" s="1" t="n"/>
      <c r="C34" s="1" t="n"/>
      <c r="D34" s="6" t="inlineStr">
        <is>
          <t>Ribilanciamento completo, vendendo</t>
        </is>
      </c>
      <c r="E34" s="21" t="n"/>
      <c r="F34" s="21" t="n"/>
      <c r="G34" s="21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1" t="n"/>
      <c r="Q34" s="1" t="n"/>
      <c r="R34" s="1" t="n"/>
      <c r="S34" s="1" t="n"/>
      <c r="T34" s="1" t="n"/>
    </row>
    <row r="35">
      <c r="A35" s="1" t="n"/>
      <c r="B35" s="1" t="n"/>
      <c r="C35" s="1" t="n"/>
      <c r="D35" s="52" t="inlineStr">
        <is>
          <t>Per tornare subito ai pesi obiettivo, versamento compreso. Vendere fa pagare le tasse sui guadagni: di solito conviene ribilanciare con i versamenti.</t>
        </is>
      </c>
      <c r="P35" s="1" t="n"/>
      <c r="Q35" s="1" t="n"/>
      <c r="R35" s="1" t="n"/>
      <c r="S35" s="1" t="n"/>
      <c r="T35" s="1" t="n"/>
    </row>
    <row r="36">
      <c r="A36" s="1" t="n"/>
      <c r="B36" s="1" t="n"/>
      <c r="C36" s="1" t="n"/>
      <c r="D36" s="24" t="inlineStr">
        <is>
          <t>ETF</t>
        </is>
      </c>
      <c r="G36" s="32" t="inlineStr">
        <is>
          <t>VALORE ORA</t>
        </is>
      </c>
      <c r="I36" s="32" t="inlineStr">
        <is>
          <t>COMPRA O VENDI</t>
        </is>
      </c>
      <c r="K36" s="32" t="inlineStr">
        <is>
          <t>QUOTE</t>
        </is>
      </c>
      <c r="L36" s="32" t="inlineStr">
        <is>
          <t>TASSE STIMATE</t>
        </is>
      </c>
      <c r="N36" s="32" t="inlineStr">
        <is>
          <t>VALORE DOPO</t>
        </is>
      </c>
      <c r="P36" s="1" t="n"/>
      <c r="Q36" s="1" t="n"/>
      <c r="R36" s="1" t="n"/>
      <c r="S36" s="1" t="n"/>
      <c r="T36" s="1" t="n"/>
    </row>
    <row r="37" ht="19" customHeight="1">
      <c r="A37" s="1" t="n"/>
      <c r="B37" s="1" t="n"/>
      <c r="C37" s="1" t="n"/>
      <c r="D37" s="83" t="str">
        <f>Calcoli!$C$140</f>
        <v>Azionario Mondo</v>
      </c>
      <c r="G37" s="88">
        <f>Calcoli!$D$140</f>
        <v>9382.32</v>
      </c>
      <c r="I37" s="89">
        <f>Calcoli!$M$140</f>
        <v>272.23</v>
      </c>
      <c r="K37" s="90">
        <f>Calcoli!$N$140</f>
        <v>2.40826256192498</v>
      </c>
      <c r="L37" s="91">
        <f>Calcoli!$O$140</f>
        <v>0</v>
      </c>
      <c r="N37" s="88">
        <f>IF(Calcoli!$C$140="","",Calcoli!$D$140+Calcoli!$M$140)</f>
        <v>9654.55</v>
      </c>
      <c r="P37" s="1" t="n"/>
      <c r="Q37" s="1" t="n"/>
      <c r="R37" s="1" t="n"/>
      <c r="S37" s="1" t="n"/>
      <c r="T37" s="1" t="n"/>
    </row>
    <row r="38" ht="19" customHeight="1">
      <c r="A38" s="1" t="n"/>
      <c r="B38" s="1" t="n"/>
      <c r="C38" s="1" t="n"/>
      <c r="D38" s="83" t="str">
        <f>Calcoli!$C$141</f>
        <v>Azionario Emergenti</v>
      </c>
      <c r="G38" s="88">
        <f>Calcoli!$D$141</f>
        <v>1668.2</v>
      </c>
      <c r="I38" s="89">
        <f>Calcoli!$M$141</f>
        <v>35.54</v>
      </c>
      <c r="K38" s="90">
        <f>Calcoli!$N$141</f>
        <v>0.809567198177677</v>
      </c>
      <c r="L38" s="91">
        <f>Calcoli!$O$141</f>
        <v>0</v>
      </c>
      <c r="N38" s="88">
        <f>IF(Calcoli!$C$141="","",Calcoli!$D$141+Calcoli!$M$141)</f>
        <v>1703.74</v>
      </c>
      <c r="P38" s="1" t="n"/>
      <c r="Q38" s="1" t="n"/>
      <c r="R38" s="1" t="n"/>
      <c r="S38" s="1" t="n"/>
      <c r="T38" s="1" t="n"/>
    </row>
    <row r="39" ht="19" customHeight="1">
      <c r="A39" s="1" t="n"/>
      <c r="B39" s="1" t="n"/>
      <c r="C39" s="1" t="n"/>
      <c r="D39" s="83" t="str">
        <f>Calcoli!$C$142</f>
        <v>Titoli di Stato Euro</v>
      </c>
      <c r="G39" s="88">
        <f>Calcoli!$D$142</f>
        <v>4298.44</v>
      </c>
      <c r="I39" s="89">
        <f>Calcoli!$M$142</f>
        <v>70.13</v>
      </c>
      <c r="K39" s="90">
        <f>Calcoli!$N$142</f>
        <v>0.668924074780618</v>
      </c>
      <c r="L39" s="91">
        <f>Calcoli!$O$142</f>
        <v>0</v>
      </c>
      <c r="N39" s="88">
        <f>IF(Calcoli!$C$142="","",Calcoli!$D$142+Calcoli!$M$142)</f>
        <v>4368.57</v>
      </c>
      <c r="P39" s="1" t="n"/>
      <c r="Q39" s="1" t="n"/>
      <c r="R39" s="1" t="n"/>
      <c r="S39" s="1" t="n"/>
      <c r="T39" s="1" t="n"/>
    </row>
    <row r="40" ht="19" customHeight="1">
      <c r="A40" s="1" t="n"/>
      <c r="B40" s="1" t="n"/>
      <c r="C40" s="1" t="n"/>
      <c r="D40" s="83" t="str">
        <f>Calcoli!$C$143</f>
        <v>Oro</v>
      </c>
      <c r="G40" s="88">
        <f>Calcoli!$D$143</f>
        <v>1725.33</v>
      </c>
      <c r="I40" s="89">
        <f>Calcoli!$M$143</f>
        <v>22.1</v>
      </c>
      <c r="K40" s="90">
        <f>Calcoli!$N$143</f>
        <v>0.217755443886097</v>
      </c>
      <c r="L40" s="91">
        <f>Calcoli!$O$143</f>
        <v>0</v>
      </c>
      <c r="N40" s="88">
        <f>IF(Calcoli!$C$143="","",Calcoli!$D$143+Calcoli!$M$143)</f>
        <v>1747.43</v>
      </c>
      <c r="P40" s="1" t="n"/>
      <c r="Q40" s="1" t="n"/>
      <c r="R40" s="1" t="n"/>
      <c r="S40" s="1" t="n"/>
      <c r="T40" s="1" t="n"/>
    </row>
    <row r="41" ht="19" customHeight="1">
      <c r="A41" s="1" t="n"/>
      <c r="B41" s="1" t="n"/>
      <c r="C41" s="1" t="n"/>
      <c r="D41" s="83" t="str">
        <f>Calcoli!$C$144</f>
        <v/>
      </c>
      <c r="G41" s="88" t="str">
        <f>Calcoli!$D$144</f>
        <v/>
      </c>
      <c r="I41" s="89" t="str">
        <f>Calcoli!$M$144</f>
        <v/>
      </c>
      <c r="K41" s="90" t="str">
        <f>Calcoli!$N$144</f>
        <v/>
      </c>
      <c r="L41" s="91" t="str">
        <f>Calcoli!$O$144</f>
        <v/>
      </c>
      <c r="N41" s="88" t="str">
        <f>IF(Calcoli!$C$144="","",Calcoli!$D$144+Calcoli!$M$144)</f>
        <v/>
      </c>
      <c r="P41" s="1" t="n"/>
      <c r="Q41" s="1" t="n"/>
      <c r="R41" s="1" t="n"/>
      <c r="S41" s="1" t="n"/>
      <c r="T41" s="1" t="n"/>
    </row>
    <row r="42" ht="19" customHeight="1">
      <c r="A42" s="1" t="n"/>
      <c r="B42" s="1" t="n"/>
      <c r="C42" s="1" t="n"/>
      <c r="D42" s="83" t="str">
        <f>Calcoli!$C$145</f>
        <v/>
      </c>
      <c r="G42" s="88" t="str">
        <f>Calcoli!$D$145</f>
        <v/>
      </c>
      <c r="I42" s="89" t="str">
        <f>Calcoli!$M$145</f>
        <v/>
      </c>
      <c r="K42" s="90" t="str">
        <f>Calcoli!$N$145</f>
        <v/>
      </c>
      <c r="L42" s="91" t="str">
        <f>Calcoli!$O$145</f>
        <v/>
      </c>
      <c r="N42" s="88" t="str">
        <f>IF(Calcoli!$C$145="","",Calcoli!$D$145+Calcoli!$M$145)</f>
        <v/>
      </c>
      <c r="P42" s="1" t="n"/>
      <c r="Q42" s="1" t="n"/>
      <c r="R42" s="1" t="n"/>
      <c r="S42" s="1" t="n"/>
      <c r="T42" s="1" t="n"/>
    </row>
    <row r="43" ht="19" customHeight="1">
      <c r="A43" s="1" t="n"/>
      <c r="B43" s="1" t="n"/>
      <c r="C43" s="1" t="n"/>
      <c r="D43" s="83" t="str">
        <f>Calcoli!$C$146</f>
        <v/>
      </c>
      <c r="G43" s="88" t="str">
        <f>Calcoli!$D$146</f>
        <v/>
      </c>
      <c r="I43" s="89" t="str">
        <f>Calcoli!$M$146</f>
        <v/>
      </c>
      <c r="K43" s="90" t="str">
        <f>Calcoli!$N$146</f>
        <v/>
      </c>
      <c r="L43" s="91" t="str">
        <f>Calcoli!$O$146</f>
        <v/>
      </c>
      <c r="N43" s="88" t="str">
        <f>IF(Calcoli!$C$146="","",Calcoli!$D$146+Calcoli!$M$146)</f>
        <v/>
      </c>
      <c r="P43" s="1" t="n"/>
      <c r="Q43" s="1" t="n"/>
      <c r="R43" s="1" t="n"/>
      <c r="S43" s="1" t="n"/>
      <c r="T43" s="1" t="n"/>
    </row>
    <row r="44" ht="19" customHeight="1">
      <c r="A44" s="1" t="n"/>
      <c r="B44" s="1" t="n"/>
      <c r="C44" s="1" t="n"/>
      <c r="D44" s="83" t="str">
        <f>Calcoli!$C$147</f>
        <v/>
      </c>
      <c r="G44" s="88" t="str">
        <f>Calcoli!$D$147</f>
        <v/>
      </c>
      <c r="I44" s="89" t="str">
        <f>Calcoli!$M$147</f>
        <v/>
      </c>
      <c r="K44" s="90" t="str">
        <f>Calcoli!$N$147</f>
        <v/>
      </c>
      <c r="L44" s="91" t="str">
        <f>Calcoli!$O$147</f>
        <v/>
      </c>
      <c r="N44" s="88" t="str">
        <f>IF(Calcoli!$C$147="","",Calcoli!$D$147+Calcoli!$M$147)</f>
        <v/>
      </c>
      <c r="P44" s="1" t="n"/>
      <c r="Q44" s="1" t="n"/>
      <c r="R44" s="1" t="n"/>
      <c r="S44" s="1" t="n"/>
      <c r="T44" s="1" t="n"/>
    </row>
    <row r="45" ht="19" customHeight="1">
      <c r="A45" s="1" t="n"/>
      <c r="B45" s="1" t="n"/>
      <c r="C45" s="1" t="n"/>
      <c r="D45" s="83" t="str">
        <f>Calcoli!$C$148</f>
        <v/>
      </c>
      <c r="G45" s="88" t="str">
        <f>Calcoli!$D$148</f>
        <v/>
      </c>
      <c r="I45" s="89" t="str">
        <f>Calcoli!$M$148</f>
        <v/>
      </c>
      <c r="K45" s="90" t="str">
        <f>Calcoli!$N$148</f>
        <v/>
      </c>
      <c r="L45" s="91" t="str">
        <f>Calcoli!$O$148</f>
        <v/>
      </c>
      <c r="N45" s="88" t="str">
        <f>IF(Calcoli!$C$148="","",Calcoli!$D$148+Calcoli!$M$148)</f>
        <v/>
      </c>
      <c r="P45" s="1" t="n"/>
      <c r="Q45" s="1" t="n"/>
      <c r="R45" s="1" t="n"/>
      <c r="S45" s="1" t="n"/>
      <c r="T45" s="1" t="n"/>
    </row>
    <row r="46" ht="19" customHeight="1">
      <c r="A46" s="1" t="n"/>
      <c r="B46" s="1" t="n"/>
      <c r="C46" s="1" t="n"/>
      <c r="D46" s="83" t="str">
        <f>Calcoli!$C$149</f>
        <v/>
      </c>
      <c r="G46" s="88" t="str">
        <f>Calcoli!$D$149</f>
        <v/>
      </c>
      <c r="I46" s="89" t="str">
        <f>Calcoli!$M$149</f>
        <v/>
      </c>
      <c r="K46" s="90" t="str">
        <f>Calcoli!$N$149</f>
        <v/>
      </c>
      <c r="L46" s="91" t="str">
        <f>Calcoli!$O$149</f>
        <v/>
      </c>
      <c r="N46" s="88" t="str">
        <f>IF(Calcoli!$C$149="","",Calcoli!$D$149+Calcoli!$M$149)</f>
        <v/>
      </c>
      <c r="P46" s="1" t="n"/>
      <c r="Q46" s="1" t="n"/>
      <c r="R46" s="1" t="n"/>
      <c r="S46" s="1" t="n"/>
      <c r="T46" s="1" t="n"/>
    </row>
    <row r="47" ht="19" customHeight="1">
      <c r="A47" s="1" t="n"/>
      <c r="B47" s="1" t="n"/>
      <c r="C47" s="1" t="n"/>
      <c r="D47" s="83" t="str">
        <f>Calcoli!$C$150</f>
        <v/>
      </c>
      <c r="G47" s="88" t="str">
        <f>Calcoli!$D$150</f>
        <v/>
      </c>
      <c r="I47" s="89" t="str">
        <f>Calcoli!$M$150</f>
        <v/>
      </c>
      <c r="K47" s="90" t="str">
        <f>Calcoli!$N$150</f>
        <v/>
      </c>
      <c r="L47" s="91" t="str">
        <f>Calcoli!$O$150</f>
        <v/>
      </c>
      <c r="N47" s="88" t="str">
        <f>IF(Calcoli!$C$150="","",Calcoli!$D$150+Calcoli!$M$150)</f>
        <v/>
      </c>
      <c r="P47" s="1" t="n"/>
      <c r="Q47" s="1" t="n"/>
      <c r="R47" s="1" t="n"/>
      <c r="S47" s="1" t="n"/>
      <c r="T47" s="1" t="n"/>
    </row>
    <row r="48" ht="19" customHeight="1">
      <c r="A48" s="1" t="n"/>
      <c r="B48" s="1" t="n"/>
      <c r="C48" s="1" t="n"/>
      <c r="D48" s="83" t="str">
        <f>Calcoli!$C$151</f>
        <v/>
      </c>
      <c r="G48" s="88" t="str">
        <f>Calcoli!$D$151</f>
        <v/>
      </c>
      <c r="I48" s="89" t="str">
        <f>Calcoli!$M$151</f>
        <v/>
      </c>
      <c r="K48" s="90" t="str">
        <f>Calcoli!$N$151</f>
        <v/>
      </c>
      <c r="L48" s="91" t="str">
        <f>Calcoli!$O$151</f>
        <v/>
      </c>
      <c r="N48" s="88" t="str">
        <f>IF(Calcoli!$C$151="","",Calcoli!$D$151+Calcoli!$M$151)</f>
        <v/>
      </c>
      <c r="P48" s="1" t="n"/>
      <c r="Q48" s="1" t="n"/>
      <c r="R48" s="1" t="n"/>
      <c r="S48" s="1" t="n"/>
      <c r="T48" s="1" t="n"/>
    </row>
    <row r="49" ht="19" customHeight="1">
      <c r="A49" s="1" t="n"/>
      <c r="B49" s="1" t="n"/>
      <c r="C49" s="1" t="n"/>
      <c r="D49" s="83" t="str">
        <f>Calcoli!$C$152</f>
        <v/>
      </c>
      <c r="G49" s="88" t="str">
        <f>Calcoli!$D$152</f>
        <v/>
      </c>
      <c r="I49" s="89" t="str">
        <f>Calcoli!$M$152</f>
        <v/>
      </c>
      <c r="K49" s="90" t="str">
        <f>Calcoli!$N$152</f>
        <v/>
      </c>
      <c r="L49" s="91" t="str">
        <f>Calcoli!$O$152</f>
        <v/>
      </c>
      <c r="N49" s="88" t="str">
        <f>IF(Calcoli!$C$152="","",Calcoli!$D$152+Calcoli!$M$152)</f>
        <v/>
      </c>
      <c r="P49" s="1" t="n"/>
      <c r="Q49" s="1" t="n"/>
      <c r="R49" s="1" t="n"/>
      <c r="S49" s="1" t="n"/>
      <c r="T49" s="1" t="n"/>
    </row>
    <row r="50" ht="19" customHeight="1">
      <c r="A50" s="1" t="n"/>
      <c r="B50" s="1" t="n"/>
      <c r="C50" s="1" t="n"/>
      <c r="D50" s="83" t="str">
        <f>Calcoli!$C$153</f>
        <v/>
      </c>
      <c r="G50" s="88" t="str">
        <f>Calcoli!$D$153</f>
        <v/>
      </c>
      <c r="I50" s="89" t="str">
        <f>Calcoli!$M$153</f>
        <v/>
      </c>
      <c r="K50" s="90" t="str">
        <f>Calcoli!$N$153</f>
        <v/>
      </c>
      <c r="L50" s="91" t="str">
        <f>Calcoli!$O$153</f>
        <v/>
      </c>
      <c r="N50" s="88" t="str">
        <f>IF(Calcoli!$C$153="","",Calcoli!$D$153+Calcoli!$M$153)</f>
        <v/>
      </c>
      <c r="P50" s="1" t="n"/>
      <c r="Q50" s="1" t="n"/>
      <c r="R50" s="1" t="n"/>
      <c r="S50" s="1" t="n"/>
      <c r="T50" s="1" t="n"/>
    </row>
    <row r="51" ht="19" customHeight="1">
      <c r="A51" s="1" t="n"/>
      <c r="B51" s="1" t="n"/>
      <c r="C51" s="1" t="n"/>
      <c r="D51" s="83" t="str">
        <f>Calcoli!$C$154</f>
        <v/>
      </c>
      <c r="G51" s="88" t="str">
        <f>Calcoli!$D$154</f>
        <v/>
      </c>
      <c r="I51" s="89" t="str">
        <f>Calcoli!$M$154</f>
        <v/>
      </c>
      <c r="K51" s="90" t="str">
        <f>Calcoli!$N$154</f>
        <v/>
      </c>
      <c r="L51" s="91" t="str">
        <f>Calcoli!$O$154</f>
        <v/>
      </c>
      <c r="N51" s="88" t="str">
        <f>IF(Calcoli!$C$154="","",Calcoli!$D$154+Calcoli!$M$154)</f>
        <v/>
      </c>
      <c r="P51" s="1" t="n"/>
      <c r="Q51" s="1" t="n"/>
      <c r="R51" s="1" t="n"/>
      <c r="S51" s="1" t="n"/>
      <c r="T51" s="1" t="n"/>
    </row>
    <row r="52">
      <c r="A52" s="1" t="n"/>
      <c r="B52" s="1" t="n"/>
      <c r="C52" s="1" t="n"/>
      <c r="D52" s="83" t="str">
        <f>"Vendi "&amp;FIXED(Calcoli!$B$130,0)&amp;" €, compri "&amp;FIXED(Calcoli!$B$131,0)&amp;" €, tasse stimate "&amp;FIXED(Calcoli!$B$132,0)&amp;" €."</f>
        <v>Vendi 0 €, compri 400 €, tasse stimate 0 €.</v>
      </c>
      <c r="P52" s="1" t="n"/>
      <c r="Q52" s="1" t="n"/>
      <c r="R52" s="1" t="n"/>
      <c r="S52" s="1" t="n"/>
      <c r="T52" s="1" t="n"/>
    </row>
    <row r="53">
      <c r="A53" s="1" t="n"/>
      <c r="B53" s="1" t="n"/>
      <c r="C53" s="1" t="n"/>
      <c r="D53" s="92" t="inlineStr">
        <is>
          <t>Le tasse sono stimate con l’aliquota e il prezzo medio di ogni ETF: calcolale meglio con lo strumento «Tasse sugli ETF» →</t>
        </is>
      </c>
      <c r="P53" s="1" t="n"/>
      <c r="Q53" s="1" t="n"/>
      <c r="R53" s="1" t="n"/>
      <c r="S53" s="1" t="n"/>
      <c r="T53" s="1" t="n"/>
    </row>
    <row r="54">
      <c r="A54" s="1" t="n"/>
      <c r="B54" s="1" t="n"/>
      <c r="C54" s="1" t="n"/>
      <c r="D54" s="21" t="n"/>
      <c r="E54" s="21" t="n"/>
      <c r="F54" s="21" t="n"/>
      <c r="G54" s="21" t="n"/>
      <c r="H54" s="21" t="n"/>
      <c r="I54" s="21" t="n"/>
      <c r="J54" s="21" t="n"/>
      <c r="K54" s="21" t="n"/>
      <c r="L54" s="21" t="n"/>
      <c r="M54" s="21" t="n"/>
      <c r="N54" s="21" t="n"/>
      <c r="O54" s="21" t="n"/>
      <c r="P54" s="1" t="n"/>
      <c r="Q54" s="1" t="n"/>
      <c r="R54" s="1" t="n"/>
      <c r="S54" s="1" t="n"/>
      <c r="T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</row>
  </sheetData>
  <mergeCells count="164">
    <mergeCell ref="D11:F11"/>
    <mergeCell ref="D2:O2"/>
    <mergeCell ref="N20:O20"/>
    <mergeCell ref="Q4:S4"/>
    <mergeCell ref="M12:O12"/>
    <mergeCell ref="N22:O22"/>
    <mergeCell ref="I26:J26"/>
    <mergeCell ref="D47:F47"/>
    <mergeCell ref="J11:L11"/>
    <mergeCell ref="D53:O53"/>
    <mergeCell ref="D28:F28"/>
    <mergeCell ref="I16:J16"/>
    <mergeCell ref="D37:F37"/>
    <mergeCell ref="N46:O46"/>
    <mergeCell ref="I25:J25"/>
    <mergeCell ref="D12:F12"/>
    <mergeCell ref="D30:F30"/>
    <mergeCell ref="D39:F39"/>
    <mergeCell ref="L39:M39"/>
    <mergeCell ref="N39:O39"/>
    <mergeCell ref="I18:J18"/>
    <mergeCell ref="L45:M45"/>
    <mergeCell ref="Q15:S17"/>
    <mergeCell ref="N48:O48"/>
    <mergeCell ref="K36"/>
    <mergeCell ref="D29:F29"/>
    <mergeCell ref="D23:F23"/>
    <mergeCell ref="N29:O29"/>
    <mergeCell ref="L38:M38"/>
    <mergeCell ref="N38:O38"/>
    <mergeCell ref="I42:J42"/>
    <mergeCell ref="L40:M40"/>
    <mergeCell ref="N40:O40"/>
    <mergeCell ref="I44:J44"/>
    <mergeCell ref="I20:J20"/>
    <mergeCell ref="N15:O15"/>
    <mergeCell ref="N24:O24"/>
    <mergeCell ref="Q18:S20"/>
    <mergeCell ref="G44:H44"/>
    <mergeCell ref="M11:O11"/>
    <mergeCell ref="N26:O26"/>
    <mergeCell ref="I30:J30"/>
    <mergeCell ref="I8:O8"/>
    <mergeCell ref="D27:F27"/>
    <mergeCell ref="D41:F41"/>
    <mergeCell ref="I15:J15"/>
    <mergeCell ref="I46:J46"/>
    <mergeCell ref="N16:O16"/>
    <mergeCell ref="N50:O50"/>
    <mergeCell ref="N25:O25"/>
    <mergeCell ref="D17:F17"/>
    <mergeCell ref="N51:O51"/>
    <mergeCell ref="G40:H40"/>
    <mergeCell ref="G48:H48"/>
    <mergeCell ref="D43:F43"/>
    <mergeCell ref="G7:H7"/>
    <mergeCell ref="G38:H38"/>
    <mergeCell ref="I41:J41"/>
    <mergeCell ref="L42:M42"/>
    <mergeCell ref="Q5:S6"/>
    <mergeCell ref="N42:O42"/>
    <mergeCell ref="D25:F25"/>
    <mergeCell ref="G49:H49"/>
    <mergeCell ref="I43:J43"/>
    <mergeCell ref="N44:O44"/>
    <mergeCell ref="I24:J24"/>
    <mergeCell ref="D5:O5"/>
    <mergeCell ref="N28:O28"/>
    <mergeCell ref="Q7:S7"/>
    <mergeCell ref="L44:M44"/>
    <mergeCell ref="I17:J17"/>
    <mergeCell ref="N30:O30"/>
    <mergeCell ref="D46:F46"/>
    <mergeCell ref="L46:M46"/>
    <mergeCell ref="I19:J19"/>
    <mergeCell ref="D31:O31"/>
    <mergeCell ref="D40:F40"/>
    <mergeCell ref="Q8:S8"/>
    <mergeCell ref="D21:F21"/>
    <mergeCell ref="L48:M48"/>
    <mergeCell ref="G10:I10"/>
    <mergeCell ref="G42:H42"/>
    <mergeCell ref="D32:O32"/>
    <mergeCell ref="N41:O41"/>
    <mergeCell ref="I45:J45"/>
    <mergeCell ref="D7:F7"/>
    <mergeCell ref="L47:M47"/>
    <mergeCell ref="D16:F16"/>
    <mergeCell ref="G39:H39"/>
    <mergeCell ref="L43:M43"/>
    <mergeCell ref="N43:O43"/>
    <mergeCell ref="I47:J47"/>
    <mergeCell ref="D18:F18"/>
    <mergeCell ref="G37:H37"/>
    <mergeCell ref="N18:O18"/>
    <mergeCell ref="I37:J37"/>
    <mergeCell ref="D8:F8"/>
    <mergeCell ref="N17:O17"/>
    <mergeCell ref="I21:J21"/>
    <mergeCell ref="D42:F42"/>
    <mergeCell ref="D51:F51"/>
    <mergeCell ref="D50:F50"/>
    <mergeCell ref="L50:M50"/>
    <mergeCell ref="N19:O19"/>
    <mergeCell ref="I23:J23"/>
    <mergeCell ref="G12:I12"/>
    <mergeCell ref="D44:F44"/>
    <mergeCell ref="D20:F20"/>
    <mergeCell ref="G51:H51"/>
    <mergeCell ref="I51:J51"/>
    <mergeCell ref="J10:L10"/>
    <mergeCell ref="I40:J40"/>
    <mergeCell ref="D22:F22"/>
    <mergeCell ref="G41:H41"/>
    <mergeCell ref="D36:F36"/>
    <mergeCell ref="G50:H50"/>
    <mergeCell ref="Q12:S14"/>
    <mergeCell ref="D45:F45"/>
    <mergeCell ref="I50:J50"/>
    <mergeCell ref="Q21:S23"/>
    <mergeCell ref="N45:O45"/>
    <mergeCell ref="G43:H43"/>
    <mergeCell ref="M10:O10"/>
    <mergeCell ref="N47:O47"/>
    <mergeCell ref="I49:J49"/>
    <mergeCell ref="I27:J27"/>
    <mergeCell ref="G36:H36"/>
    <mergeCell ref="D48:F48"/>
    <mergeCell ref="I36:J36"/>
    <mergeCell ref="L37:M37"/>
    <mergeCell ref="G8:H8"/>
    <mergeCell ref="N37:O37"/>
    <mergeCell ref="N21:O21"/>
    <mergeCell ref="D4:O4"/>
    <mergeCell ref="I22:J22"/>
    <mergeCell ref="I28:J28"/>
    <mergeCell ref="J12:L12"/>
    <mergeCell ref="N23:O23"/>
    <mergeCell ref="D15:F15"/>
    <mergeCell ref="D24:F24"/>
    <mergeCell ref="D38:F38"/>
    <mergeCell ref="Q11:S11"/>
    <mergeCell ref="L51:M51"/>
    <mergeCell ref="I7:O7"/>
    <mergeCell ref="D26:F26"/>
    <mergeCell ref="L41:M41"/>
    <mergeCell ref="I39:J39"/>
    <mergeCell ref="G45:H45"/>
    <mergeCell ref="I48:J48"/>
    <mergeCell ref="D35:O35"/>
    <mergeCell ref="G11:I11"/>
    <mergeCell ref="D10:F10"/>
    <mergeCell ref="D19:F19"/>
    <mergeCell ref="I29:J29"/>
    <mergeCell ref="I38:J38"/>
    <mergeCell ref="G47:H47"/>
    <mergeCell ref="L49:M49"/>
    <mergeCell ref="G46:H46"/>
    <mergeCell ref="N49:O49"/>
    <mergeCell ref="N27:O27"/>
    <mergeCell ref="L36:M36"/>
    <mergeCell ref="N36:O36"/>
    <mergeCell ref="D52:O52"/>
    <mergeCell ref="D49:F49"/>
  </mergeCells>
  <conditionalFormatting sqref="M16:M30">
    <cfRule type="expression" priority="1" dxfId="2">
      <formula>AND(ISNUMBER(M16),ABS(M16)&gt;Impostazioni!$B$8*100)</formula>
    </cfRule>
  </conditionalFormatting>
  <conditionalFormatting sqref="I37:J51">
    <cfRule type="expression" priority="2" dxfId="2">
      <formula>AND(ISNUMBER($I37),$I37&lt;0)</formula>
    </cfRule>
    <cfRule type="expression" priority="3" dxfId="3">
      <formula>AND(ISNUMBER($I37),$I37&gt;0)</formula>
    </cfRule>
  </conditionalFormatting>
  <dataValidations count="2">
    <dataValidation sqref="G7" showDropDown="0" showInputMessage="0" showErrorMessage="1" allowBlank="1" errorTitle="Importo non valido" error="Scrivi quanto vuoi investire, in euro." type="decimal" operator="greaterThanOrEqual">
      <formula1>0</formula1>
    </dataValidation>
    <dataValidation sqref="G8" showDropDown="0" showInputMessage="0" showErrorMessage="1" allowBlank="0" errorTitle="Scegli Sì o No" error="Sì: compri solo quote intere. No: il tuo broker permette le frazioni di quota." type="list">
      <formula1>"Sì,No"</formula1>
    </dataValidation>
  </dataValidations>
  <hyperlinks>
    <hyperlink ref="B4" location="'Riepilogo'!A1" display="   📊   Riepilogo"/>
    <hyperlink ref="B5" location="'Ribilanciamento'!A1" display="   ⚖   Ribilanciamento"/>
    <hyperlink ref="B6" location="'Dividendi'!A1" display="   💶   Dividendi"/>
    <hyperlink ref="Q8" location="'Impostazioni'!A1" display="cambiala nelle Impostazioni"/>
    <hyperlink ref="B9" location="'ETF'!A1" display="   ▸  ETF"/>
    <hyperlink ref="B10" location="'Movimenti'!A1" display="   ✎  Movimenti"/>
    <hyperlink ref="B11" location="'Storico'!A1" display="   ▸  Storico"/>
    <hyperlink ref="B12" location="'Impostazioni'!A1" display="   ⚙  Impostazioni"/>
    <hyperlink ref="B13" location="'Inizia qui'!A1" display="   ?  Guida"/>
    <hyperlink xmlns:r="http://schemas.openxmlformats.org/officeDocument/2006/relationships" ref="D53" r:id="rId1"/>
  </hyperlink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2747B8"/>
    <outlinePr summaryBelow="1" summaryRight="1"/>
    <pageSetUpPr fitToPage="1"/>
  </sheetPr>
  <dimension ref="A1:T6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.5" customWidth="1" min="1" max="1"/>
    <col width="22" customWidth="1" min="2" max="2"/>
    <col width="1.5" customWidth="1" min="3" max="3"/>
    <col width="16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1" customWidth="1" min="17" max="17"/>
    <col width="11" customWidth="1" min="18" max="18"/>
    <col width="1.5" customWidth="1" min="19" max="19"/>
    <col width="1.5" customWidth="1" min="20" max="20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2" t="inlineStr">
        <is>
          <t>◔  PORTAFOGLIO ETF</t>
        </is>
      </c>
      <c r="C2" s="1" t="n"/>
      <c r="D2" s="13" t="inlineStr">
        <is>
          <t>Portafoglio ETF e ribilanciamento</t>
        </is>
      </c>
      <c r="P2" s="1" t="n"/>
      <c r="Q2" s="1" t="n"/>
      <c r="R2" s="1" t="n"/>
      <c r="S2" s="1" t="n"/>
      <c r="T2" s="1" t="n"/>
    </row>
    <row r="3" ht="16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 ht="26" customHeight="1">
      <c r="A4" s="1" t="n"/>
      <c r="B4" s="19" t="inlineStr">
        <is>
          <t xml:space="preserve">   📊   Riepilogo</t>
        </is>
      </c>
      <c r="C4" s="1" t="n"/>
      <c r="D4" s="17" t="inlineStr">
        <is>
          <t>Dividendi</t>
        </is>
      </c>
      <c r="S4" s="1" t="n"/>
      <c r="T4" s="1" t="n"/>
    </row>
    <row r="5" ht="24" customHeight="1">
      <c r="A5" s="1" t="n"/>
      <c r="B5" s="19" t="inlineStr">
        <is>
          <t xml:space="preserve">   ⚖   Ribilanciamento</t>
        </is>
      </c>
      <c r="C5" s="1" t="n"/>
      <c r="D5" s="72" t="str">
        <f>IF(Calcoli!$B$336=0,"Non hai ancora registrato dividendi: scrivili nel foglio Movimenti con l’operazione «Dividendo».","I dividendi che hai registrato nel foglio Movimenti, mese per mese e anno per anno.")</f>
        <v>I dividendi che hai registrato nel foglio Movimenti, mese per mese e anno per anno.</v>
      </c>
      <c r="S5" s="1" t="n"/>
      <c r="T5" s="1" t="n"/>
    </row>
    <row r="6" ht="24" customHeight="1">
      <c r="A6" s="1" t="n"/>
      <c r="B6" s="16" t="inlineStr">
        <is>
          <t xml:space="preserve">   💶   Dividendi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</row>
    <row r="7" ht="24" customHeight="1">
      <c r="A7" s="1" t="n"/>
      <c r="B7" s="21" t="n"/>
      <c r="C7" s="1" t="n"/>
      <c r="D7" s="74" t="inlineStr">
        <is>
          <t xml:space="preserve">   ANNO</t>
        </is>
      </c>
      <c r="E7" s="21" t="n"/>
      <c r="F7" s="21" t="n"/>
      <c r="G7" s="93" t="n"/>
      <c r="H7" s="76" t="n"/>
      <c r="I7" s="21" t="n"/>
      <c r="J7" s="64" t="str">
        <f>"Lascia vuoto per l’anno della data dei prezzi · ora vedi il "&amp;Calcoli!$B$250</f>
        <v>Lascia vuoto per l’anno della data dei prezzi · ora vedi il 2026</v>
      </c>
      <c r="S7" s="1" t="n"/>
      <c r="T7" s="1" t="n"/>
    </row>
    <row r="8" ht="24" customHeight="1">
      <c r="A8" s="1" t="n"/>
      <c r="B8" s="24" t="inlineStr">
        <is>
          <t xml:space="preserve">   INSERISCI I DATI</t>
        </is>
      </c>
      <c r="C8" s="1" t="n"/>
      <c r="D8" s="74" t="inlineStr">
        <is>
          <t xml:space="preserve">   DIVIDENDI</t>
        </is>
      </c>
      <c r="E8" s="21" t="n"/>
      <c r="F8" s="21" t="n"/>
      <c r="G8" s="77" t="inlineStr">
        <is>
          <t>Netti</t>
        </is>
      </c>
      <c r="H8" s="76" t="n"/>
      <c r="I8" s="21" t="n"/>
      <c r="J8" s="64" t="inlineStr">
        <is>
          <t>Netti: quello che arriva sul conto, dopo tasse e commissioni. Lordi: prima delle tasse.</t>
        </is>
      </c>
      <c r="S8" s="1" t="n"/>
      <c r="T8" s="1" t="n"/>
    </row>
    <row r="9" ht="24" customHeight="1">
      <c r="A9" s="1" t="n"/>
      <c r="B9" s="29" t="inlineStr">
        <is>
          <t xml:space="preserve">   ▸  ETF</t>
        </is>
      </c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</row>
    <row r="10" ht="24" customHeight="1">
      <c r="A10" s="1" t="n"/>
      <c r="B10" s="29" t="inlineStr">
        <is>
          <t xml:space="preserve">   ✎  Movimenti</t>
        </is>
      </c>
      <c r="C10" s="1" t="n"/>
      <c r="D10" s="22" t="str">
        <f>"DIVIDENDI DEL "&amp;Calcoli!$B$250</f>
        <v>DIVIDENDI DEL 2026</v>
      </c>
      <c r="G10" s="22" t="inlineStr">
        <is>
          <t>ULTIMI 12 MESI</t>
        </is>
      </c>
      <c r="K10" s="22" t="inlineStr">
        <is>
          <t>RENDIMENTO DA DIVIDENDI</t>
        </is>
      </c>
      <c r="O10" s="22" t="inlineStr">
        <is>
          <t>INCASSATI IN TUTTO</t>
        </is>
      </c>
      <c r="S10" s="1" t="n"/>
      <c r="T10" s="1" t="n"/>
    </row>
    <row r="11" ht="24" customHeight="1">
      <c r="A11" s="1" t="n"/>
      <c r="B11" s="29" t="inlineStr">
        <is>
          <t xml:space="preserve">   ▸  Storico</t>
        </is>
      </c>
      <c r="C11" s="1" t="n"/>
      <c r="D11" s="80">
        <f>Calcoli!$B$330</f>
        <v>39.62</v>
      </c>
      <c r="G11" s="94">
        <f>Calcoli!$B$332</f>
        <v>62.13</v>
      </c>
      <c r="K11" s="95">
        <f>Calcoli!$B$334</f>
        <v>0.00363880430752904</v>
      </c>
      <c r="O11" s="96">
        <f>Calcoli!$B$335</f>
        <v>108.17</v>
      </c>
      <c r="S11" s="1" t="n"/>
      <c r="T11" s="1" t="n"/>
    </row>
    <row r="12" ht="24" customHeight="1">
      <c r="A12" s="1" t="n"/>
      <c r="B12" s="29" t="inlineStr">
        <is>
          <t xml:space="preserve">   ⚙  Impostazioni</t>
        </is>
      </c>
      <c r="C12" s="1" t="n"/>
      <c r="D12" s="30" t="str">
        <f>IF(Calcoli!$B$250=YEAR(Calcoli!$B$42),"stesso periodo del "&amp;(Calcoli!$B$250-1)&amp;": ","nel "&amp;(Calcoli!$B$250-1)&amp;": ")&amp;FIXED(Calcoli!$B$331,2)&amp;" €"&amp;IF(Calcoli!$B$331&gt;0,"  ("&amp;IF(Calcoli!$B$330&gt;=Calcoli!$B$331,"+","")&amp;ROUND((Calcoli!$B$330/Calcoli!$B$331-1)*100,0)&amp;"%)","")</f>
        <v>stesso periodo del 2025: 28.17 €  (+41%)</v>
      </c>
      <c r="G12" s="30" t="str">
        <f>"in media "&amp;FIXED(Calcoli!$B$333,2)&amp;" € al mese"</f>
        <v>in media 5.18 € al mese</v>
      </c>
      <c r="K12" s="30" t="str">
        <f>"ultimi 12 mesi, sul valore di oggi ("&amp;IF(Calcoli!$B$251=1,"lordi","netti")&amp;")"</f>
        <v>ultimi 12 mesi, sul valore di oggi (netti)</v>
      </c>
      <c r="O12" s="30" t="str">
        <f>IF(Calcoli!$B$336=0,"nessun dividendo registrato",Calcoli!$B$336&amp;IF(Calcoli!$B$336=1," dividendo"," dividendi")&amp;IF(Calcoli!$B$337="",""," dal "&amp;DAY(Calcoli!$B$337)&amp;" "&amp;CHOOSE(MONTH(Calcoli!$B$337),"gen","feb","mar","apr","mag","giu","lug","ago","set","ott","nov","dic")&amp;" "&amp;YEAR(Calcoli!$B$337)))</f>
        <v>12 dividendi dal 20 dic 2024</v>
      </c>
      <c r="S12" s="1" t="n"/>
      <c r="T12" s="1" t="n"/>
    </row>
    <row r="13">
      <c r="A13" s="1" t="n"/>
      <c r="B13" s="29" t="inlineStr">
        <is>
          <t xml:space="preserve">   ?  Guida</t>
        </is>
      </c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</row>
    <row r="14" ht="20" customHeight="1">
      <c r="A14" s="1" t="n"/>
      <c r="B14" s="21" t="n"/>
      <c r="C14" s="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1" t="n"/>
      <c r="T14" s="1" t="n"/>
    </row>
    <row r="15" ht="20" customHeight="1">
      <c r="A15" s="1" t="n"/>
      <c r="B15" s="21" t="n"/>
      <c r="C15" s="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1" t="n"/>
      <c r="T15" s="1" t="n"/>
    </row>
    <row r="16" ht="20" customHeight="1">
      <c r="A16" s="1" t="n"/>
      <c r="B16" s="21" t="n"/>
      <c r="C16" s="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1" t="n"/>
      <c r="T16" s="1" t="n"/>
    </row>
    <row r="17" ht="20" customHeight="1">
      <c r="A17" s="1" t="n"/>
      <c r="B17" s="21" t="n"/>
      <c r="C17" s="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21" t="n"/>
      <c r="S17" s="1" t="n"/>
      <c r="T17" s="1" t="n"/>
    </row>
    <row r="18" ht="20" customHeight="1">
      <c r="A18" s="1" t="n"/>
      <c r="B18" s="21" t="n"/>
      <c r="C18" s="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21" t="n"/>
      <c r="S18" s="1" t="n"/>
      <c r="T18" s="1" t="n"/>
    </row>
    <row r="19" ht="20" customHeight="1">
      <c r="A19" s="1" t="n"/>
      <c r="B19" s="21" t="n"/>
      <c r="C19" s="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1" t="n"/>
      <c r="T19" s="1" t="n"/>
    </row>
    <row r="20" ht="20" customHeight="1">
      <c r="A20" s="1" t="n"/>
      <c r="B20" s="21" t="n"/>
      <c r="C20" s="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1" t="n"/>
      <c r="T20" s="1" t="n"/>
    </row>
    <row r="21" ht="20" customHeight="1">
      <c r="A21" s="1" t="n"/>
      <c r="B21" s="21" t="n"/>
      <c r="C21" s="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1" t="n"/>
      <c r="T21" s="1" t="n"/>
    </row>
    <row r="22" ht="20" customHeight="1">
      <c r="A22" s="1" t="n"/>
      <c r="B22" s="21" t="n"/>
      <c r="C22" s="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21" t="n"/>
      <c r="S22" s="1" t="n"/>
      <c r="T22" s="1" t="n"/>
    </row>
    <row r="23" ht="20" customHeight="1">
      <c r="A23" s="1" t="n"/>
      <c r="B23" s="21" t="n"/>
      <c r="C23" s="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1" t="n"/>
      <c r="T23" s="1" t="n"/>
    </row>
    <row r="24" ht="20" customHeight="1">
      <c r="A24" s="1" t="n"/>
      <c r="B24" s="21" t="n"/>
      <c r="C24" s="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1" t="n"/>
      <c r="T24" s="1" t="n"/>
    </row>
    <row r="25" ht="20" customHeight="1">
      <c r="A25" s="1" t="n"/>
      <c r="B25" s="52" t="inlineStr">
        <is>
          <t xml:space="preserve">   mondofinanziario.com</t>
        </is>
      </c>
      <c r="C25" s="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1" t="n"/>
      <c r="T25" s="1" t="n"/>
    </row>
    <row r="26" ht="20" customHeight="1">
      <c r="A26" s="1" t="n"/>
      <c r="B26" s="21" t="n"/>
      <c r="C26" s="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1" t="n"/>
      <c r="Q26" s="21" t="n"/>
      <c r="R26" s="21" t="n"/>
      <c r="S26" s="1" t="n"/>
      <c r="T26" s="1" t="n"/>
    </row>
    <row r="27" ht="20" customHeight="1">
      <c r="A27" s="1" t="n"/>
      <c r="B27" s="1" t="n"/>
      <c r="C27" s="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1" t="n"/>
      <c r="T27" s="1" t="n"/>
    </row>
    <row r="28" ht="20" customHeight="1">
      <c r="A28" s="1" t="n"/>
      <c r="B28" s="1" t="n"/>
      <c r="C28" s="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21" t="n"/>
      <c r="S28" s="1" t="n"/>
      <c r="T28" s="1" t="n"/>
    </row>
    <row r="29" ht="20" customHeight="1">
      <c r="A29" s="1" t="n"/>
      <c r="B29" s="1" t="n"/>
      <c r="C29" s="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1" t="n"/>
      <c r="T29" s="1" t="n"/>
    </row>
    <row r="30" ht="20" customHeight="1">
      <c r="A30" s="1" t="n"/>
      <c r="B30" s="1" t="n"/>
      <c r="C30" s="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21" t="n"/>
      <c r="S30" s="1" t="n"/>
      <c r="T30" s="1" t="n"/>
    </row>
    <row r="31" ht="20" customHeight="1">
      <c r="A31" s="1" t="n"/>
      <c r="B31" s="1" t="n"/>
      <c r="C31" s="1" t="n"/>
      <c r="D31" s="21" t="n"/>
      <c r="E31" s="21" t="n"/>
      <c r="F31" s="21" t="n"/>
      <c r="G31" s="21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1" t="n"/>
      <c r="Q31" s="21" t="n"/>
      <c r="R31" s="21" t="n"/>
      <c r="S31" s="1" t="n"/>
      <c r="T31" s="1" t="n"/>
    </row>
    <row r="32" ht="22" customHeight="1">
      <c r="A32" s="1" t="n"/>
      <c r="B32" s="1" t="n"/>
      <c r="C32" s="1" t="n"/>
      <c r="D32" s="52" t="inlineStr">
        <is>
          <t>A sinistra l’anno scelto e i due precedenti, mese per mese. A destra, per ogni mese, la somma dei 12 mesi prima: è la rendita annua che ti danno i dividendi.</t>
        </is>
      </c>
      <c r="S32" s="1" t="n"/>
      <c r="T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</row>
    <row r="34" ht="26" customHeight="1">
      <c r="A34" s="1" t="n"/>
      <c r="B34" s="1" t="n"/>
      <c r="C34" s="1" t="n"/>
      <c r="D34" s="6" t="inlineStr">
        <is>
          <t>Anno per anno</t>
        </is>
      </c>
      <c r="E34" s="21" t="n"/>
      <c r="F34" s="21" t="n"/>
      <c r="G34" s="21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21" t="n"/>
      <c r="Q34" s="21" t="n"/>
      <c r="R34" s="21" t="n"/>
      <c r="S34" s="1" t="n"/>
      <c r="T34" s="1" t="n"/>
    </row>
    <row r="35" ht="24" customHeight="1">
      <c r="A35" s="1" t="n"/>
      <c r="B35" s="1" t="n"/>
      <c r="C35" s="1" t="n"/>
      <c r="D35" s="24" t="inlineStr">
        <is>
          <t>ANNO</t>
        </is>
      </c>
      <c r="E35" s="32" t="inlineStr">
        <is>
          <t>GEN</t>
        </is>
      </c>
      <c r="F35" s="32" t="inlineStr">
        <is>
          <t>FEB</t>
        </is>
      </c>
      <c r="G35" s="32" t="inlineStr">
        <is>
          <t>MAR</t>
        </is>
      </c>
      <c r="H35" s="32" t="inlineStr">
        <is>
          <t>APR</t>
        </is>
      </c>
      <c r="I35" s="32" t="inlineStr">
        <is>
          <t>MAG</t>
        </is>
      </c>
      <c r="J35" s="32" t="inlineStr">
        <is>
          <t>GIU</t>
        </is>
      </c>
      <c r="K35" s="32" t="inlineStr">
        <is>
          <t>LUG</t>
        </is>
      </c>
      <c r="L35" s="32" t="inlineStr">
        <is>
          <t>AGO</t>
        </is>
      </c>
      <c r="M35" s="32" t="inlineStr">
        <is>
          <t>SET</t>
        </is>
      </c>
      <c r="N35" s="32" t="inlineStr">
        <is>
          <t>OTT</t>
        </is>
      </c>
      <c r="O35" s="32" t="inlineStr">
        <is>
          <t>NOV</t>
        </is>
      </c>
      <c r="P35" s="32" t="inlineStr">
        <is>
          <t>DIC</t>
        </is>
      </c>
      <c r="Q35" s="62" t="inlineStr">
        <is>
          <t>TOTALE</t>
        </is>
      </c>
      <c r="R35" s="62" t="inlineStr">
        <is>
          <t>VS ANNO PRIMA</t>
        </is>
      </c>
      <c r="S35" s="1" t="n"/>
      <c r="T35" s="1" t="n"/>
    </row>
    <row r="36" ht="19" customHeight="1">
      <c r="A36" s="1" t="n"/>
      <c r="B36" s="1" t="n"/>
      <c r="C36" s="1" t="n"/>
      <c r="D36" s="97">
        <f>Calcoli!$A$256</f>
        <v>2024</v>
      </c>
      <c r="E36" s="98">
        <f>Calcoli!$B$256</f>
        <v>0</v>
      </c>
      <c r="F36" s="98">
        <f>Calcoli!$C$256</f>
        <v>0</v>
      </c>
      <c r="G36" s="98">
        <f>Calcoli!$D$256</f>
        <v>0</v>
      </c>
      <c r="H36" s="98">
        <f>Calcoli!$E$256</f>
        <v>0</v>
      </c>
      <c r="I36" s="98">
        <f>Calcoli!$F$256</f>
        <v>0</v>
      </c>
      <c r="J36" s="98">
        <f>Calcoli!$G$256</f>
        <v>0</v>
      </c>
      <c r="K36" s="98">
        <f>Calcoli!$H$256</f>
        <v>0</v>
      </c>
      <c r="L36" s="98">
        <f>Calcoli!$I$256</f>
        <v>0</v>
      </c>
      <c r="M36" s="98">
        <f>Calcoli!$J$256</f>
        <v>0</v>
      </c>
      <c r="N36" s="98">
        <f>Calcoli!$K$256</f>
        <v>0</v>
      </c>
      <c r="O36" s="98">
        <f>Calcoli!$L$256</f>
        <v>0</v>
      </c>
      <c r="P36" s="98">
        <f>Calcoli!$M$256</f>
        <v>17.87</v>
      </c>
      <c r="Q36" s="99">
        <f>Calcoli!$N$256</f>
        <v>17.87</v>
      </c>
      <c r="R36" s="100" t="str">
        <f>Calcoli!$O$256</f>
        <v/>
      </c>
      <c r="S36" s="1" t="n"/>
      <c r="T36" s="1" t="n"/>
    </row>
    <row r="37" ht="19" customHeight="1">
      <c r="A37" s="1" t="n"/>
      <c r="B37" s="1" t="n"/>
      <c r="C37" s="1" t="n"/>
      <c r="D37" s="97">
        <f>Calcoli!$A$257</f>
        <v>2025</v>
      </c>
      <c r="E37" s="98">
        <f>Calcoli!$B$257</f>
        <v>0</v>
      </c>
      <c r="F37" s="98">
        <f>Calcoli!$C$257</f>
        <v>0</v>
      </c>
      <c r="G37" s="98">
        <f>Calcoli!$D$257</f>
        <v>3.02</v>
      </c>
      <c r="H37" s="98">
        <f>Calcoli!$E$257</f>
        <v>0</v>
      </c>
      <c r="I37" s="98">
        <f>Calcoli!$F$257</f>
        <v>0</v>
      </c>
      <c r="J37" s="98">
        <f>Calcoli!$G$257</f>
        <v>20.18</v>
      </c>
      <c r="K37" s="98">
        <f>Calcoli!$H$257</f>
        <v>0</v>
      </c>
      <c r="L37" s="98">
        <f>Calcoli!$I$257</f>
        <v>0</v>
      </c>
      <c r="M37" s="98">
        <f>Calcoli!$J$257</f>
        <v>4.97</v>
      </c>
      <c r="N37" s="98">
        <f>Calcoli!$K$257</f>
        <v>0</v>
      </c>
      <c r="O37" s="98">
        <f>Calcoli!$L$257</f>
        <v>0</v>
      </c>
      <c r="P37" s="98">
        <f>Calcoli!$M$257</f>
        <v>22.51</v>
      </c>
      <c r="Q37" s="99">
        <f>Calcoli!$N$257</f>
        <v>50.68</v>
      </c>
      <c r="R37" s="100">
        <f>Calcoli!$O$257</f>
        <v>1.83603805260213</v>
      </c>
      <c r="S37" s="1" t="n"/>
      <c r="T37" s="1" t="n"/>
    </row>
    <row r="38" ht="19" customHeight="1">
      <c r="A38" s="1" t="n"/>
      <c r="B38" s="1" t="n"/>
      <c r="C38" s="1" t="n"/>
      <c r="D38" s="97">
        <f>Calcoli!$A$258</f>
        <v>2026</v>
      </c>
      <c r="E38" s="98">
        <f>Calcoli!$B$258</f>
        <v>0</v>
      </c>
      <c r="F38" s="98">
        <f>Calcoli!$C$258</f>
        <v>0</v>
      </c>
      <c r="G38" s="98">
        <f>Calcoli!$D$258</f>
        <v>6.22</v>
      </c>
      <c r="H38" s="98">
        <f>Calcoli!$E$258</f>
        <v>0</v>
      </c>
      <c r="I38" s="98">
        <f>Calcoli!$F$258</f>
        <v>0</v>
      </c>
      <c r="J38" s="98">
        <f>Calcoli!$G$258</f>
        <v>26.83</v>
      </c>
      <c r="K38" s="98">
        <f>Calcoli!$H$258</f>
        <v>0</v>
      </c>
      <c r="L38" s="98">
        <f>Calcoli!$I$258</f>
        <v>0</v>
      </c>
      <c r="M38" s="98">
        <f>Calcoli!$J$258</f>
        <v>6.57</v>
      </c>
      <c r="N38" s="98">
        <f>Calcoli!$K$258</f>
        <v>0</v>
      </c>
      <c r="O38" s="98">
        <f>Calcoli!$L$258</f>
        <v>0</v>
      </c>
      <c r="P38" s="98">
        <f>Calcoli!$M$258</f>
        <v>0</v>
      </c>
      <c r="Q38" s="99">
        <f>Calcoli!$N$258</f>
        <v>39.62</v>
      </c>
      <c r="R38" s="100">
        <f>Calcoli!$O$258</f>
        <v>0.406460773872914</v>
      </c>
      <c r="S38" s="1" t="n"/>
      <c r="T38" s="1" t="n"/>
    </row>
    <row r="39" ht="19" customHeight="1">
      <c r="A39" s="1" t="n"/>
      <c r="B39" s="1" t="n"/>
      <c r="C39" s="1" t="n"/>
      <c r="D39" s="97" t="str">
        <f>Calcoli!$A$259</f>
        <v/>
      </c>
      <c r="E39" s="98" t="str">
        <f>Calcoli!$B$259</f>
        <v/>
      </c>
      <c r="F39" s="98" t="str">
        <f>Calcoli!$C$259</f>
        <v/>
      </c>
      <c r="G39" s="98" t="str">
        <f>Calcoli!$D$259</f>
        <v/>
      </c>
      <c r="H39" s="98" t="str">
        <f>Calcoli!$E$259</f>
        <v/>
      </c>
      <c r="I39" s="98" t="str">
        <f>Calcoli!$F$259</f>
        <v/>
      </c>
      <c r="J39" s="98" t="str">
        <f>Calcoli!$G$259</f>
        <v/>
      </c>
      <c r="K39" s="98" t="str">
        <f>Calcoli!$H$259</f>
        <v/>
      </c>
      <c r="L39" s="98" t="str">
        <f>Calcoli!$I$259</f>
        <v/>
      </c>
      <c r="M39" s="98" t="str">
        <f>Calcoli!$J$259</f>
        <v/>
      </c>
      <c r="N39" s="98" t="str">
        <f>Calcoli!$K$259</f>
        <v/>
      </c>
      <c r="O39" s="98" t="str">
        <f>Calcoli!$L$259</f>
        <v/>
      </c>
      <c r="P39" s="98" t="str">
        <f>Calcoli!$M$259</f>
        <v/>
      </c>
      <c r="Q39" s="99" t="str">
        <f>Calcoli!$N$259</f>
        <v/>
      </c>
      <c r="R39" s="100" t="str">
        <f>Calcoli!$O$259</f>
        <v/>
      </c>
      <c r="S39" s="1" t="n"/>
      <c r="T39" s="1" t="n"/>
    </row>
    <row r="40" ht="19" customHeight="1">
      <c r="A40" s="1" t="n"/>
      <c r="B40" s="1" t="n"/>
      <c r="C40" s="1" t="n"/>
      <c r="D40" s="97" t="str">
        <f>Calcoli!$A$260</f>
        <v/>
      </c>
      <c r="E40" s="98" t="str">
        <f>Calcoli!$B$260</f>
        <v/>
      </c>
      <c r="F40" s="98" t="str">
        <f>Calcoli!$C$260</f>
        <v/>
      </c>
      <c r="G40" s="98" t="str">
        <f>Calcoli!$D$260</f>
        <v/>
      </c>
      <c r="H40" s="98" t="str">
        <f>Calcoli!$E$260</f>
        <v/>
      </c>
      <c r="I40" s="98" t="str">
        <f>Calcoli!$F$260</f>
        <v/>
      </c>
      <c r="J40" s="98" t="str">
        <f>Calcoli!$G$260</f>
        <v/>
      </c>
      <c r="K40" s="98" t="str">
        <f>Calcoli!$H$260</f>
        <v/>
      </c>
      <c r="L40" s="98" t="str">
        <f>Calcoli!$I$260</f>
        <v/>
      </c>
      <c r="M40" s="98" t="str">
        <f>Calcoli!$J$260</f>
        <v/>
      </c>
      <c r="N40" s="98" t="str">
        <f>Calcoli!$K$260</f>
        <v/>
      </c>
      <c r="O40" s="98" t="str">
        <f>Calcoli!$L$260</f>
        <v/>
      </c>
      <c r="P40" s="98" t="str">
        <f>Calcoli!$M$260</f>
        <v/>
      </c>
      <c r="Q40" s="99" t="str">
        <f>Calcoli!$N$260</f>
        <v/>
      </c>
      <c r="R40" s="100" t="str">
        <f>Calcoli!$O$260</f>
        <v/>
      </c>
      <c r="S40" s="1" t="n"/>
      <c r="T40" s="1" t="n"/>
    </row>
    <row r="41" ht="19" customHeight="1">
      <c r="A41" s="1" t="n"/>
      <c r="B41" s="1" t="n"/>
      <c r="C41" s="1" t="n"/>
      <c r="D41" s="97" t="str">
        <f>Calcoli!$A$261</f>
        <v/>
      </c>
      <c r="E41" s="98" t="str">
        <f>Calcoli!$B$261</f>
        <v/>
      </c>
      <c r="F41" s="98" t="str">
        <f>Calcoli!$C$261</f>
        <v/>
      </c>
      <c r="G41" s="98" t="str">
        <f>Calcoli!$D$261</f>
        <v/>
      </c>
      <c r="H41" s="98" t="str">
        <f>Calcoli!$E$261</f>
        <v/>
      </c>
      <c r="I41" s="98" t="str">
        <f>Calcoli!$F$261</f>
        <v/>
      </c>
      <c r="J41" s="98" t="str">
        <f>Calcoli!$G$261</f>
        <v/>
      </c>
      <c r="K41" s="98" t="str">
        <f>Calcoli!$H$261</f>
        <v/>
      </c>
      <c r="L41" s="98" t="str">
        <f>Calcoli!$I$261</f>
        <v/>
      </c>
      <c r="M41" s="98" t="str">
        <f>Calcoli!$J$261</f>
        <v/>
      </c>
      <c r="N41" s="98" t="str">
        <f>Calcoli!$K$261</f>
        <v/>
      </c>
      <c r="O41" s="98" t="str">
        <f>Calcoli!$L$261</f>
        <v/>
      </c>
      <c r="P41" s="98" t="str">
        <f>Calcoli!$M$261</f>
        <v/>
      </c>
      <c r="Q41" s="99" t="str">
        <f>Calcoli!$N$261</f>
        <v/>
      </c>
      <c r="R41" s="100" t="str">
        <f>Calcoli!$O$261</f>
        <v/>
      </c>
      <c r="S41" s="1" t="n"/>
      <c r="T41" s="1" t="n"/>
    </row>
    <row r="42" ht="19" customHeight="1">
      <c r="A42" s="1" t="n"/>
      <c r="B42" s="1" t="n"/>
      <c r="C42" s="1" t="n"/>
      <c r="D42" s="97" t="str">
        <f>Calcoli!$A$262</f>
        <v/>
      </c>
      <c r="E42" s="98" t="str">
        <f>Calcoli!$B$262</f>
        <v/>
      </c>
      <c r="F42" s="98" t="str">
        <f>Calcoli!$C$262</f>
        <v/>
      </c>
      <c r="G42" s="98" t="str">
        <f>Calcoli!$D$262</f>
        <v/>
      </c>
      <c r="H42" s="98" t="str">
        <f>Calcoli!$E$262</f>
        <v/>
      </c>
      <c r="I42" s="98" t="str">
        <f>Calcoli!$F$262</f>
        <v/>
      </c>
      <c r="J42" s="98" t="str">
        <f>Calcoli!$G$262</f>
        <v/>
      </c>
      <c r="K42" s="98" t="str">
        <f>Calcoli!$H$262</f>
        <v/>
      </c>
      <c r="L42" s="98" t="str">
        <f>Calcoli!$I$262</f>
        <v/>
      </c>
      <c r="M42" s="98" t="str">
        <f>Calcoli!$J$262</f>
        <v/>
      </c>
      <c r="N42" s="98" t="str">
        <f>Calcoli!$K$262</f>
        <v/>
      </c>
      <c r="O42" s="98" t="str">
        <f>Calcoli!$L$262</f>
        <v/>
      </c>
      <c r="P42" s="98" t="str">
        <f>Calcoli!$M$262</f>
        <v/>
      </c>
      <c r="Q42" s="99" t="str">
        <f>Calcoli!$N$262</f>
        <v/>
      </c>
      <c r="R42" s="100" t="str">
        <f>Calcoli!$O$262</f>
        <v/>
      </c>
      <c r="S42" s="1" t="n"/>
      <c r="T42" s="1" t="n"/>
    </row>
    <row r="43" ht="19" customHeight="1">
      <c r="A43" s="1" t="n"/>
      <c r="B43" s="1" t="n"/>
      <c r="C43" s="1" t="n"/>
      <c r="D43" s="97" t="str">
        <f>Calcoli!$A$263</f>
        <v/>
      </c>
      <c r="E43" s="98" t="str">
        <f>Calcoli!$B$263</f>
        <v/>
      </c>
      <c r="F43" s="98" t="str">
        <f>Calcoli!$C$263</f>
        <v/>
      </c>
      <c r="G43" s="98" t="str">
        <f>Calcoli!$D$263</f>
        <v/>
      </c>
      <c r="H43" s="98" t="str">
        <f>Calcoli!$E$263</f>
        <v/>
      </c>
      <c r="I43" s="98" t="str">
        <f>Calcoli!$F$263</f>
        <v/>
      </c>
      <c r="J43" s="98" t="str">
        <f>Calcoli!$G$263</f>
        <v/>
      </c>
      <c r="K43" s="98" t="str">
        <f>Calcoli!$H$263</f>
        <v/>
      </c>
      <c r="L43" s="98" t="str">
        <f>Calcoli!$I$263</f>
        <v/>
      </c>
      <c r="M43" s="98" t="str">
        <f>Calcoli!$J$263</f>
        <v/>
      </c>
      <c r="N43" s="98" t="str">
        <f>Calcoli!$K$263</f>
        <v/>
      </c>
      <c r="O43" s="98" t="str">
        <f>Calcoli!$L$263</f>
        <v/>
      </c>
      <c r="P43" s="98" t="str">
        <f>Calcoli!$M$263</f>
        <v/>
      </c>
      <c r="Q43" s="99" t="str">
        <f>Calcoli!$N$263</f>
        <v/>
      </c>
      <c r="R43" s="100" t="str">
        <f>Calcoli!$O$263</f>
        <v/>
      </c>
      <c r="S43" s="1" t="n"/>
      <c r="T43" s="1" t="n"/>
    </row>
    <row r="44">
      <c r="A44" s="1" t="n"/>
      <c r="B44" s="1" t="n"/>
      <c r="C44" s="1" t="n"/>
      <c r="D44" s="52" t="str">
        <f>"Importi "&amp;IF(Calcoli!$B$251=1,"lordi","netti")&amp;". Per l’anno in corso il confronto è con lo stesso periodo dell’anno prima."</f>
        <v>Importi netti. Per l’anno in corso il confronto è con lo stesso periodo dell’anno prima.</v>
      </c>
      <c r="S44" s="1" t="n"/>
      <c r="T44" s="1" t="n"/>
    </row>
    <row r="45">
      <c r="A45" s="1" t="n"/>
      <c r="B45" s="1" t="n"/>
      <c r="C45" s="1" t="n"/>
      <c r="D45" s="21" t="n"/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21" t="n"/>
      <c r="S45" s="1" t="n"/>
      <c r="T45" s="1" t="n"/>
    </row>
    <row r="46" ht="26" customHeight="1">
      <c r="A46" s="1" t="n"/>
      <c r="B46" s="1" t="n"/>
      <c r="C46" s="1" t="n"/>
      <c r="D46" s="6" t="str">
        <f>"Per ETF nel "&amp;Calcoli!$B$250</f>
        <v>Per ETF nel 2026</v>
      </c>
      <c r="E46" s="21" t="n"/>
      <c r="F46" s="21" t="n"/>
      <c r="G46" s="21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1" t="n"/>
      <c r="Q46" s="21" t="n"/>
      <c r="R46" s="21" t="n"/>
      <c r="S46" s="1" t="n"/>
      <c r="T46" s="1" t="n"/>
    </row>
    <row r="47" ht="24" customHeight="1">
      <c r="A47" s="1" t="n"/>
      <c r="B47" s="1" t="n"/>
      <c r="C47" s="1" t="n"/>
      <c r="D47" s="24" t="inlineStr">
        <is>
          <t>ETF</t>
        </is>
      </c>
      <c r="E47" s="32" t="inlineStr">
        <is>
          <t>GEN</t>
        </is>
      </c>
      <c r="F47" s="32" t="inlineStr">
        <is>
          <t>FEB</t>
        </is>
      </c>
      <c r="G47" s="32" t="inlineStr">
        <is>
          <t>MAR</t>
        </is>
      </c>
      <c r="H47" s="32" t="inlineStr">
        <is>
          <t>APR</t>
        </is>
      </c>
      <c r="I47" s="32" t="inlineStr">
        <is>
          <t>MAG</t>
        </is>
      </c>
      <c r="J47" s="32" t="inlineStr">
        <is>
          <t>GIU</t>
        </is>
      </c>
      <c r="K47" s="32" t="inlineStr">
        <is>
          <t>LUG</t>
        </is>
      </c>
      <c r="L47" s="32" t="inlineStr">
        <is>
          <t>AGO</t>
        </is>
      </c>
      <c r="M47" s="32" t="inlineStr">
        <is>
          <t>SET</t>
        </is>
      </c>
      <c r="N47" s="32" t="inlineStr">
        <is>
          <t>OTT</t>
        </is>
      </c>
      <c r="O47" s="32" t="inlineStr">
        <is>
          <t>NOV</t>
        </is>
      </c>
      <c r="P47" s="32" t="inlineStr">
        <is>
          <t>DIC</t>
        </is>
      </c>
      <c r="Q47" s="62" t="inlineStr">
        <is>
          <t>TOTALE</t>
        </is>
      </c>
      <c r="R47" s="62" t="inlineStr">
        <is>
          <t>DA SEMPRE</t>
        </is>
      </c>
      <c r="S47" s="1" t="n"/>
      <c r="T47" s="1" t="n"/>
    </row>
    <row r="48" ht="18" customHeight="1">
      <c r="A48" s="1" t="n"/>
      <c r="B48" s="1" t="n"/>
      <c r="C48" s="1" t="n"/>
      <c r="D48" s="101" t="str">
        <f>Calcoli!$A$310</f>
        <v>Azionario Emergenti</v>
      </c>
      <c r="E48" s="98">
        <f>Calcoli!$B$310</f>
        <v>0</v>
      </c>
      <c r="F48" s="98">
        <f>Calcoli!$C$310</f>
        <v>0</v>
      </c>
      <c r="G48" s="98">
        <f>Calcoli!$D$310</f>
        <v>6.22</v>
      </c>
      <c r="H48" s="98">
        <f>Calcoli!$E$310</f>
        <v>0</v>
      </c>
      <c r="I48" s="98">
        <f>Calcoli!$F$310</f>
        <v>0</v>
      </c>
      <c r="J48" s="98">
        <f>Calcoli!$G$310</f>
        <v>6.22</v>
      </c>
      <c r="K48" s="98">
        <f>Calcoli!$H$310</f>
        <v>0</v>
      </c>
      <c r="L48" s="98">
        <f>Calcoli!$I$310</f>
        <v>0</v>
      </c>
      <c r="M48" s="98">
        <f>Calcoli!$J$310</f>
        <v>6.57</v>
      </c>
      <c r="N48" s="98">
        <f>Calcoli!$K$310</f>
        <v>0</v>
      </c>
      <c r="O48" s="98">
        <f>Calcoli!$L$310</f>
        <v>0</v>
      </c>
      <c r="P48" s="98">
        <f>Calcoli!$M$310</f>
        <v>0</v>
      </c>
      <c r="Q48" s="102">
        <f>Calcoli!$N$310</f>
        <v>19.01</v>
      </c>
      <c r="R48" s="66">
        <f>Calcoli!$O$310</f>
        <v>37.66</v>
      </c>
      <c r="S48" s="1" t="n"/>
      <c r="T48" s="1" t="n"/>
    </row>
    <row r="49" ht="18" customHeight="1">
      <c r="A49" s="1" t="n"/>
      <c r="B49" s="1" t="n"/>
      <c r="C49" s="1" t="n"/>
      <c r="D49" s="101" t="str">
        <f>Calcoli!$A$311</f>
        <v>Titoli di Stato Euro</v>
      </c>
      <c r="E49" s="98">
        <f>Calcoli!$B$311</f>
        <v>0</v>
      </c>
      <c r="F49" s="98">
        <f>Calcoli!$C$311</f>
        <v>0</v>
      </c>
      <c r="G49" s="98">
        <f>Calcoli!$D$311</f>
        <v>0</v>
      </c>
      <c r="H49" s="98">
        <f>Calcoli!$E$311</f>
        <v>0</v>
      </c>
      <c r="I49" s="98">
        <f>Calcoli!$F$311</f>
        <v>0</v>
      </c>
      <c r="J49" s="98">
        <f>Calcoli!$G$311</f>
        <v>20.61</v>
      </c>
      <c r="K49" s="98">
        <f>Calcoli!$H$311</f>
        <v>0</v>
      </c>
      <c r="L49" s="98">
        <f>Calcoli!$I$311</f>
        <v>0</v>
      </c>
      <c r="M49" s="98">
        <f>Calcoli!$J$311</f>
        <v>0</v>
      </c>
      <c r="N49" s="98">
        <f>Calcoli!$K$311</f>
        <v>0</v>
      </c>
      <c r="O49" s="98">
        <f>Calcoli!$L$311</f>
        <v>0</v>
      </c>
      <c r="P49" s="98">
        <f>Calcoli!$M$311</f>
        <v>0</v>
      </c>
      <c r="Q49" s="102">
        <f>Calcoli!$N$311</f>
        <v>20.61</v>
      </c>
      <c r="R49" s="66">
        <f>Calcoli!$O$311</f>
        <v>70.51</v>
      </c>
      <c r="S49" s="1" t="n"/>
      <c r="T49" s="1" t="n"/>
    </row>
    <row r="50" ht="18" customHeight="1">
      <c r="A50" s="1" t="n"/>
      <c r="B50" s="1" t="n"/>
      <c r="C50" s="1" t="n"/>
      <c r="D50" s="101" t="str">
        <f>Calcoli!$A$312</f>
        <v/>
      </c>
      <c r="E50" s="98" t="str">
        <f>Calcoli!$B$312</f>
        <v/>
      </c>
      <c r="F50" s="98" t="str">
        <f>Calcoli!$C$312</f>
        <v/>
      </c>
      <c r="G50" s="98" t="str">
        <f>Calcoli!$D$312</f>
        <v/>
      </c>
      <c r="H50" s="98" t="str">
        <f>Calcoli!$E$312</f>
        <v/>
      </c>
      <c r="I50" s="98" t="str">
        <f>Calcoli!$F$312</f>
        <v/>
      </c>
      <c r="J50" s="98" t="str">
        <f>Calcoli!$G$312</f>
        <v/>
      </c>
      <c r="K50" s="98" t="str">
        <f>Calcoli!$H$312</f>
        <v/>
      </c>
      <c r="L50" s="98" t="str">
        <f>Calcoli!$I$312</f>
        <v/>
      </c>
      <c r="M50" s="98" t="str">
        <f>Calcoli!$J$312</f>
        <v/>
      </c>
      <c r="N50" s="98" t="str">
        <f>Calcoli!$K$312</f>
        <v/>
      </c>
      <c r="O50" s="98" t="str">
        <f>Calcoli!$L$312</f>
        <v/>
      </c>
      <c r="P50" s="98" t="str">
        <f>Calcoli!$M$312</f>
        <v/>
      </c>
      <c r="Q50" s="102" t="str">
        <f>Calcoli!$N$312</f>
        <v/>
      </c>
      <c r="R50" s="66" t="str">
        <f>Calcoli!$O$312</f>
        <v/>
      </c>
      <c r="S50" s="1" t="n"/>
      <c r="T50" s="1" t="n"/>
    </row>
    <row r="51" ht="18" customHeight="1">
      <c r="A51" s="1" t="n"/>
      <c r="B51" s="1" t="n"/>
      <c r="C51" s="1" t="n"/>
      <c r="D51" s="101" t="str">
        <f>Calcoli!$A$313</f>
        <v/>
      </c>
      <c r="E51" s="98" t="str">
        <f>Calcoli!$B$313</f>
        <v/>
      </c>
      <c r="F51" s="98" t="str">
        <f>Calcoli!$C$313</f>
        <v/>
      </c>
      <c r="G51" s="98" t="str">
        <f>Calcoli!$D$313</f>
        <v/>
      </c>
      <c r="H51" s="98" t="str">
        <f>Calcoli!$E$313</f>
        <v/>
      </c>
      <c r="I51" s="98" t="str">
        <f>Calcoli!$F$313</f>
        <v/>
      </c>
      <c r="J51" s="98" t="str">
        <f>Calcoli!$G$313</f>
        <v/>
      </c>
      <c r="K51" s="98" t="str">
        <f>Calcoli!$H$313</f>
        <v/>
      </c>
      <c r="L51" s="98" t="str">
        <f>Calcoli!$I$313</f>
        <v/>
      </c>
      <c r="M51" s="98" t="str">
        <f>Calcoli!$J$313</f>
        <v/>
      </c>
      <c r="N51" s="98" t="str">
        <f>Calcoli!$K$313</f>
        <v/>
      </c>
      <c r="O51" s="98" t="str">
        <f>Calcoli!$L$313</f>
        <v/>
      </c>
      <c r="P51" s="98" t="str">
        <f>Calcoli!$M$313</f>
        <v/>
      </c>
      <c r="Q51" s="102" t="str">
        <f>Calcoli!$N$313</f>
        <v/>
      </c>
      <c r="R51" s="66" t="str">
        <f>Calcoli!$O$313</f>
        <v/>
      </c>
      <c r="S51" s="1" t="n"/>
      <c r="T51" s="1" t="n"/>
    </row>
    <row r="52" ht="18" customHeight="1">
      <c r="A52" s="1" t="n"/>
      <c r="B52" s="1" t="n"/>
      <c r="C52" s="1" t="n"/>
      <c r="D52" s="101" t="str">
        <f>Calcoli!$A$314</f>
        <v/>
      </c>
      <c r="E52" s="98" t="str">
        <f>Calcoli!$B$314</f>
        <v/>
      </c>
      <c r="F52" s="98" t="str">
        <f>Calcoli!$C$314</f>
        <v/>
      </c>
      <c r="G52" s="98" t="str">
        <f>Calcoli!$D$314</f>
        <v/>
      </c>
      <c r="H52" s="98" t="str">
        <f>Calcoli!$E$314</f>
        <v/>
      </c>
      <c r="I52" s="98" t="str">
        <f>Calcoli!$F$314</f>
        <v/>
      </c>
      <c r="J52" s="98" t="str">
        <f>Calcoli!$G$314</f>
        <v/>
      </c>
      <c r="K52" s="98" t="str">
        <f>Calcoli!$H$314</f>
        <v/>
      </c>
      <c r="L52" s="98" t="str">
        <f>Calcoli!$I$314</f>
        <v/>
      </c>
      <c r="M52" s="98" t="str">
        <f>Calcoli!$J$314</f>
        <v/>
      </c>
      <c r="N52" s="98" t="str">
        <f>Calcoli!$K$314</f>
        <v/>
      </c>
      <c r="O52" s="98" t="str">
        <f>Calcoli!$L$314</f>
        <v/>
      </c>
      <c r="P52" s="98" t="str">
        <f>Calcoli!$M$314</f>
        <v/>
      </c>
      <c r="Q52" s="102" t="str">
        <f>Calcoli!$N$314</f>
        <v/>
      </c>
      <c r="R52" s="66" t="str">
        <f>Calcoli!$O$314</f>
        <v/>
      </c>
      <c r="S52" s="1" t="n"/>
      <c r="T52" s="1" t="n"/>
    </row>
    <row r="53" ht="18" customHeight="1">
      <c r="A53" s="1" t="n"/>
      <c r="B53" s="1" t="n"/>
      <c r="C53" s="1" t="n"/>
      <c r="D53" s="101" t="str">
        <f>Calcoli!$A$315</f>
        <v/>
      </c>
      <c r="E53" s="98" t="str">
        <f>Calcoli!$B$315</f>
        <v/>
      </c>
      <c r="F53" s="98" t="str">
        <f>Calcoli!$C$315</f>
        <v/>
      </c>
      <c r="G53" s="98" t="str">
        <f>Calcoli!$D$315</f>
        <v/>
      </c>
      <c r="H53" s="98" t="str">
        <f>Calcoli!$E$315</f>
        <v/>
      </c>
      <c r="I53" s="98" t="str">
        <f>Calcoli!$F$315</f>
        <v/>
      </c>
      <c r="J53" s="98" t="str">
        <f>Calcoli!$G$315</f>
        <v/>
      </c>
      <c r="K53" s="98" t="str">
        <f>Calcoli!$H$315</f>
        <v/>
      </c>
      <c r="L53" s="98" t="str">
        <f>Calcoli!$I$315</f>
        <v/>
      </c>
      <c r="M53" s="98" t="str">
        <f>Calcoli!$J$315</f>
        <v/>
      </c>
      <c r="N53" s="98" t="str">
        <f>Calcoli!$K$315</f>
        <v/>
      </c>
      <c r="O53" s="98" t="str">
        <f>Calcoli!$L$315</f>
        <v/>
      </c>
      <c r="P53" s="98" t="str">
        <f>Calcoli!$M$315</f>
        <v/>
      </c>
      <c r="Q53" s="102" t="str">
        <f>Calcoli!$N$315</f>
        <v/>
      </c>
      <c r="R53" s="66" t="str">
        <f>Calcoli!$O$315</f>
        <v/>
      </c>
      <c r="S53" s="1" t="n"/>
      <c r="T53" s="1" t="n"/>
    </row>
    <row r="54" ht="18" customHeight="1">
      <c r="A54" s="1" t="n"/>
      <c r="B54" s="1" t="n"/>
      <c r="C54" s="1" t="n"/>
      <c r="D54" s="101" t="str">
        <f>Calcoli!$A$316</f>
        <v/>
      </c>
      <c r="E54" s="98" t="str">
        <f>Calcoli!$B$316</f>
        <v/>
      </c>
      <c r="F54" s="98" t="str">
        <f>Calcoli!$C$316</f>
        <v/>
      </c>
      <c r="G54" s="98" t="str">
        <f>Calcoli!$D$316</f>
        <v/>
      </c>
      <c r="H54" s="98" t="str">
        <f>Calcoli!$E$316</f>
        <v/>
      </c>
      <c r="I54" s="98" t="str">
        <f>Calcoli!$F$316</f>
        <v/>
      </c>
      <c r="J54" s="98" t="str">
        <f>Calcoli!$G$316</f>
        <v/>
      </c>
      <c r="K54" s="98" t="str">
        <f>Calcoli!$H$316</f>
        <v/>
      </c>
      <c r="L54" s="98" t="str">
        <f>Calcoli!$I$316</f>
        <v/>
      </c>
      <c r="M54" s="98" t="str">
        <f>Calcoli!$J$316</f>
        <v/>
      </c>
      <c r="N54" s="98" t="str">
        <f>Calcoli!$K$316</f>
        <v/>
      </c>
      <c r="O54" s="98" t="str">
        <f>Calcoli!$L$316</f>
        <v/>
      </c>
      <c r="P54" s="98" t="str">
        <f>Calcoli!$M$316</f>
        <v/>
      </c>
      <c r="Q54" s="102" t="str">
        <f>Calcoli!$N$316</f>
        <v/>
      </c>
      <c r="R54" s="66" t="str">
        <f>Calcoli!$O$316</f>
        <v/>
      </c>
      <c r="S54" s="1" t="n"/>
      <c r="T54" s="1" t="n"/>
    </row>
    <row r="55" ht="18" customHeight="1">
      <c r="A55" s="1" t="n"/>
      <c r="B55" s="1" t="n"/>
      <c r="C55" s="1" t="n"/>
      <c r="D55" s="101" t="str">
        <f>Calcoli!$A$317</f>
        <v/>
      </c>
      <c r="E55" s="98" t="str">
        <f>Calcoli!$B$317</f>
        <v/>
      </c>
      <c r="F55" s="98" t="str">
        <f>Calcoli!$C$317</f>
        <v/>
      </c>
      <c r="G55" s="98" t="str">
        <f>Calcoli!$D$317</f>
        <v/>
      </c>
      <c r="H55" s="98" t="str">
        <f>Calcoli!$E$317</f>
        <v/>
      </c>
      <c r="I55" s="98" t="str">
        <f>Calcoli!$F$317</f>
        <v/>
      </c>
      <c r="J55" s="98" t="str">
        <f>Calcoli!$G$317</f>
        <v/>
      </c>
      <c r="K55" s="98" t="str">
        <f>Calcoli!$H$317</f>
        <v/>
      </c>
      <c r="L55" s="98" t="str">
        <f>Calcoli!$I$317</f>
        <v/>
      </c>
      <c r="M55" s="98" t="str">
        <f>Calcoli!$J$317</f>
        <v/>
      </c>
      <c r="N55" s="98" t="str">
        <f>Calcoli!$K$317</f>
        <v/>
      </c>
      <c r="O55" s="98" t="str">
        <f>Calcoli!$L$317</f>
        <v/>
      </c>
      <c r="P55" s="98" t="str">
        <f>Calcoli!$M$317</f>
        <v/>
      </c>
      <c r="Q55" s="102" t="str">
        <f>Calcoli!$N$317</f>
        <v/>
      </c>
      <c r="R55" s="66" t="str">
        <f>Calcoli!$O$317</f>
        <v/>
      </c>
      <c r="S55" s="1" t="n"/>
      <c r="T55" s="1" t="n"/>
    </row>
    <row r="56" ht="18" customHeight="1">
      <c r="A56" s="1" t="n"/>
      <c r="B56" s="1" t="n"/>
      <c r="C56" s="1" t="n"/>
      <c r="D56" s="101" t="str">
        <f>Calcoli!$A$318</f>
        <v/>
      </c>
      <c r="E56" s="98" t="str">
        <f>Calcoli!$B$318</f>
        <v/>
      </c>
      <c r="F56" s="98" t="str">
        <f>Calcoli!$C$318</f>
        <v/>
      </c>
      <c r="G56" s="98" t="str">
        <f>Calcoli!$D$318</f>
        <v/>
      </c>
      <c r="H56" s="98" t="str">
        <f>Calcoli!$E$318</f>
        <v/>
      </c>
      <c r="I56" s="98" t="str">
        <f>Calcoli!$F$318</f>
        <v/>
      </c>
      <c r="J56" s="98" t="str">
        <f>Calcoli!$G$318</f>
        <v/>
      </c>
      <c r="K56" s="98" t="str">
        <f>Calcoli!$H$318</f>
        <v/>
      </c>
      <c r="L56" s="98" t="str">
        <f>Calcoli!$I$318</f>
        <v/>
      </c>
      <c r="M56" s="98" t="str">
        <f>Calcoli!$J$318</f>
        <v/>
      </c>
      <c r="N56" s="98" t="str">
        <f>Calcoli!$K$318</f>
        <v/>
      </c>
      <c r="O56" s="98" t="str">
        <f>Calcoli!$L$318</f>
        <v/>
      </c>
      <c r="P56" s="98" t="str">
        <f>Calcoli!$M$318</f>
        <v/>
      </c>
      <c r="Q56" s="102" t="str">
        <f>Calcoli!$N$318</f>
        <v/>
      </c>
      <c r="R56" s="66" t="str">
        <f>Calcoli!$O$318</f>
        <v/>
      </c>
      <c r="S56" s="1" t="n"/>
      <c r="T56" s="1" t="n"/>
    </row>
    <row r="57" ht="18" customHeight="1">
      <c r="A57" s="1" t="n"/>
      <c r="B57" s="1" t="n"/>
      <c r="C57" s="1" t="n"/>
      <c r="D57" s="101" t="str">
        <f>Calcoli!$A$319</f>
        <v/>
      </c>
      <c r="E57" s="98" t="str">
        <f>Calcoli!$B$319</f>
        <v/>
      </c>
      <c r="F57" s="98" t="str">
        <f>Calcoli!$C$319</f>
        <v/>
      </c>
      <c r="G57" s="98" t="str">
        <f>Calcoli!$D$319</f>
        <v/>
      </c>
      <c r="H57" s="98" t="str">
        <f>Calcoli!$E$319</f>
        <v/>
      </c>
      <c r="I57" s="98" t="str">
        <f>Calcoli!$F$319</f>
        <v/>
      </c>
      <c r="J57" s="98" t="str">
        <f>Calcoli!$G$319</f>
        <v/>
      </c>
      <c r="K57" s="98" t="str">
        <f>Calcoli!$H$319</f>
        <v/>
      </c>
      <c r="L57" s="98" t="str">
        <f>Calcoli!$I$319</f>
        <v/>
      </c>
      <c r="M57" s="98" t="str">
        <f>Calcoli!$J$319</f>
        <v/>
      </c>
      <c r="N57" s="98" t="str">
        <f>Calcoli!$K$319</f>
        <v/>
      </c>
      <c r="O57" s="98" t="str">
        <f>Calcoli!$L$319</f>
        <v/>
      </c>
      <c r="P57" s="98" t="str">
        <f>Calcoli!$M$319</f>
        <v/>
      </c>
      <c r="Q57" s="102" t="str">
        <f>Calcoli!$N$319</f>
        <v/>
      </c>
      <c r="R57" s="66" t="str">
        <f>Calcoli!$O$319</f>
        <v/>
      </c>
      <c r="S57" s="1" t="n"/>
      <c r="T57" s="1" t="n"/>
    </row>
    <row r="58" ht="18" customHeight="1">
      <c r="A58" s="1" t="n"/>
      <c r="B58" s="1" t="n"/>
      <c r="C58" s="1" t="n"/>
      <c r="D58" s="101" t="str">
        <f>Calcoli!$A$320</f>
        <v/>
      </c>
      <c r="E58" s="98" t="str">
        <f>Calcoli!$B$320</f>
        <v/>
      </c>
      <c r="F58" s="98" t="str">
        <f>Calcoli!$C$320</f>
        <v/>
      </c>
      <c r="G58" s="98" t="str">
        <f>Calcoli!$D$320</f>
        <v/>
      </c>
      <c r="H58" s="98" t="str">
        <f>Calcoli!$E$320</f>
        <v/>
      </c>
      <c r="I58" s="98" t="str">
        <f>Calcoli!$F$320</f>
        <v/>
      </c>
      <c r="J58" s="98" t="str">
        <f>Calcoli!$G$320</f>
        <v/>
      </c>
      <c r="K58" s="98" t="str">
        <f>Calcoli!$H$320</f>
        <v/>
      </c>
      <c r="L58" s="98" t="str">
        <f>Calcoli!$I$320</f>
        <v/>
      </c>
      <c r="M58" s="98" t="str">
        <f>Calcoli!$J$320</f>
        <v/>
      </c>
      <c r="N58" s="98" t="str">
        <f>Calcoli!$K$320</f>
        <v/>
      </c>
      <c r="O58" s="98" t="str">
        <f>Calcoli!$L$320</f>
        <v/>
      </c>
      <c r="P58" s="98" t="str">
        <f>Calcoli!$M$320</f>
        <v/>
      </c>
      <c r="Q58" s="102" t="str">
        <f>Calcoli!$N$320</f>
        <v/>
      </c>
      <c r="R58" s="66" t="str">
        <f>Calcoli!$O$320</f>
        <v/>
      </c>
      <c r="S58" s="1" t="n"/>
      <c r="T58" s="1" t="n"/>
    </row>
    <row r="59" ht="18" customHeight="1">
      <c r="A59" s="1" t="n"/>
      <c r="B59" s="1" t="n"/>
      <c r="C59" s="1" t="n"/>
      <c r="D59" s="101" t="str">
        <f>Calcoli!$A$321</f>
        <v/>
      </c>
      <c r="E59" s="98" t="str">
        <f>Calcoli!$B$321</f>
        <v/>
      </c>
      <c r="F59" s="98" t="str">
        <f>Calcoli!$C$321</f>
        <v/>
      </c>
      <c r="G59" s="98" t="str">
        <f>Calcoli!$D$321</f>
        <v/>
      </c>
      <c r="H59" s="98" t="str">
        <f>Calcoli!$E$321</f>
        <v/>
      </c>
      <c r="I59" s="98" t="str">
        <f>Calcoli!$F$321</f>
        <v/>
      </c>
      <c r="J59" s="98" t="str">
        <f>Calcoli!$G$321</f>
        <v/>
      </c>
      <c r="K59" s="98" t="str">
        <f>Calcoli!$H$321</f>
        <v/>
      </c>
      <c r="L59" s="98" t="str">
        <f>Calcoli!$I$321</f>
        <v/>
      </c>
      <c r="M59" s="98" t="str">
        <f>Calcoli!$J$321</f>
        <v/>
      </c>
      <c r="N59" s="98" t="str">
        <f>Calcoli!$K$321</f>
        <v/>
      </c>
      <c r="O59" s="98" t="str">
        <f>Calcoli!$L$321</f>
        <v/>
      </c>
      <c r="P59" s="98" t="str">
        <f>Calcoli!$M$321</f>
        <v/>
      </c>
      <c r="Q59" s="102" t="str">
        <f>Calcoli!$N$321</f>
        <v/>
      </c>
      <c r="R59" s="66" t="str">
        <f>Calcoli!$O$321</f>
        <v/>
      </c>
      <c r="S59" s="1" t="n"/>
      <c r="T59" s="1" t="n"/>
    </row>
    <row r="60" ht="18" customHeight="1">
      <c r="A60" s="1" t="n"/>
      <c r="B60" s="1" t="n"/>
      <c r="C60" s="1" t="n"/>
      <c r="D60" s="101" t="str">
        <f>Calcoli!$A$322</f>
        <v/>
      </c>
      <c r="E60" s="98" t="str">
        <f>Calcoli!$B$322</f>
        <v/>
      </c>
      <c r="F60" s="98" t="str">
        <f>Calcoli!$C$322</f>
        <v/>
      </c>
      <c r="G60" s="98" t="str">
        <f>Calcoli!$D$322</f>
        <v/>
      </c>
      <c r="H60" s="98" t="str">
        <f>Calcoli!$E$322</f>
        <v/>
      </c>
      <c r="I60" s="98" t="str">
        <f>Calcoli!$F$322</f>
        <v/>
      </c>
      <c r="J60" s="98" t="str">
        <f>Calcoli!$G$322</f>
        <v/>
      </c>
      <c r="K60" s="98" t="str">
        <f>Calcoli!$H$322</f>
        <v/>
      </c>
      <c r="L60" s="98" t="str">
        <f>Calcoli!$I$322</f>
        <v/>
      </c>
      <c r="M60" s="98" t="str">
        <f>Calcoli!$J$322</f>
        <v/>
      </c>
      <c r="N60" s="98" t="str">
        <f>Calcoli!$K$322</f>
        <v/>
      </c>
      <c r="O60" s="98" t="str">
        <f>Calcoli!$L$322</f>
        <v/>
      </c>
      <c r="P60" s="98" t="str">
        <f>Calcoli!$M$322</f>
        <v/>
      </c>
      <c r="Q60" s="102" t="str">
        <f>Calcoli!$N$322</f>
        <v/>
      </c>
      <c r="R60" s="66" t="str">
        <f>Calcoli!$O$322</f>
        <v/>
      </c>
      <c r="S60" s="1" t="n"/>
      <c r="T60" s="1" t="n"/>
    </row>
    <row r="61" ht="18" customHeight="1">
      <c r="A61" s="1" t="n"/>
      <c r="B61" s="1" t="n"/>
      <c r="C61" s="1" t="n"/>
      <c r="D61" s="101" t="str">
        <f>Calcoli!$A$323</f>
        <v/>
      </c>
      <c r="E61" s="98" t="str">
        <f>Calcoli!$B$323</f>
        <v/>
      </c>
      <c r="F61" s="98" t="str">
        <f>Calcoli!$C$323</f>
        <v/>
      </c>
      <c r="G61" s="98" t="str">
        <f>Calcoli!$D$323</f>
        <v/>
      </c>
      <c r="H61" s="98" t="str">
        <f>Calcoli!$E$323</f>
        <v/>
      </c>
      <c r="I61" s="98" t="str">
        <f>Calcoli!$F$323</f>
        <v/>
      </c>
      <c r="J61" s="98" t="str">
        <f>Calcoli!$G$323</f>
        <v/>
      </c>
      <c r="K61" s="98" t="str">
        <f>Calcoli!$H$323</f>
        <v/>
      </c>
      <c r="L61" s="98" t="str">
        <f>Calcoli!$I$323</f>
        <v/>
      </c>
      <c r="M61" s="98" t="str">
        <f>Calcoli!$J$323</f>
        <v/>
      </c>
      <c r="N61" s="98" t="str">
        <f>Calcoli!$K$323</f>
        <v/>
      </c>
      <c r="O61" s="98" t="str">
        <f>Calcoli!$L$323</f>
        <v/>
      </c>
      <c r="P61" s="98" t="str">
        <f>Calcoli!$M$323</f>
        <v/>
      </c>
      <c r="Q61" s="102" t="str">
        <f>Calcoli!$N$323</f>
        <v/>
      </c>
      <c r="R61" s="66" t="str">
        <f>Calcoli!$O$323</f>
        <v/>
      </c>
      <c r="S61" s="1" t="n"/>
      <c r="T61" s="1" t="n"/>
    </row>
    <row r="62" ht="18" customHeight="1">
      <c r="A62" s="1" t="n"/>
      <c r="B62" s="1" t="n"/>
      <c r="C62" s="1" t="n"/>
      <c r="D62" s="101" t="str">
        <f>Calcoli!$A$324</f>
        <v/>
      </c>
      <c r="E62" s="98" t="str">
        <f>Calcoli!$B$324</f>
        <v/>
      </c>
      <c r="F62" s="98" t="str">
        <f>Calcoli!$C$324</f>
        <v/>
      </c>
      <c r="G62" s="98" t="str">
        <f>Calcoli!$D$324</f>
        <v/>
      </c>
      <c r="H62" s="98" t="str">
        <f>Calcoli!$E$324</f>
        <v/>
      </c>
      <c r="I62" s="98" t="str">
        <f>Calcoli!$F$324</f>
        <v/>
      </c>
      <c r="J62" s="98" t="str">
        <f>Calcoli!$G$324</f>
        <v/>
      </c>
      <c r="K62" s="98" t="str">
        <f>Calcoli!$H$324</f>
        <v/>
      </c>
      <c r="L62" s="98" t="str">
        <f>Calcoli!$I$324</f>
        <v/>
      </c>
      <c r="M62" s="98" t="str">
        <f>Calcoli!$J$324</f>
        <v/>
      </c>
      <c r="N62" s="98" t="str">
        <f>Calcoli!$K$324</f>
        <v/>
      </c>
      <c r="O62" s="98" t="str">
        <f>Calcoli!$L$324</f>
        <v/>
      </c>
      <c r="P62" s="98" t="str">
        <f>Calcoli!$M$324</f>
        <v/>
      </c>
      <c r="Q62" s="102" t="str">
        <f>Calcoli!$N$324</f>
        <v/>
      </c>
      <c r="R62" s="66" t="str">
        <f>Calcoli!$O$324</f>
        <v/>
      </c>
      <c r="S62" s="1" t="n"/>
      <c r="T62" s="1" t="n"/>
    </row>
    <row r="63">
      <c r="A63" s="1" t="n"/>
      <c r="B63" s="1" t="n"/>
      <c r="C63" s="1" t="n"/>
      <c r="D63" s="42" t="inlineStr">
        <is>
          <t>Totale</t>
        </is>
      </c>
      <c r="E63" s="103">
        <f>Calcoli!$B$325</f>
        <v>0</v>
      </c>
      <c r="F63" s="103">
        <f>Calcoli!$C$325</f>
        <v>0</v>
      </c>
      <c r="G63" s="103">
        <f>Calcoli!$D$325</f>
        <v>6.22</v>
      </c>
      <c r="H63" s="103">
        <f>Calcoli!$E$325</f>
        <v>0</v>
      </c>
      <c r="I63" s="103">
        <f>Calcoli!$F$325</f>
        <v>0</v>
      </c>
      <c r="J63" s="103">
        <f>Calcoli!$G$325</f>
        <v>26.83</v>
      </c>
      <c r="K63" s="103">
        <f>Calcoli!$H$325</f>
        <v>0</v>
      </c>
      <c r="L63" s="103">
        <f>Calcoli!$I$325</f>
        <v>0</v>
      </c>
      <c r="M63" s="103">
        <f>Calcoli!$J$325</f>
        <v>6.57</v>
      </c>
      <c r="N63" s="103">
        <f>Calcoli!$K$325</f>
        <v>0</v>
      </c>
      <c r="O63" s="103">
        <f>Calcoli!$L$325</f>
        <v>0</v>
      </c>
      <c r="P63" s="103">
        <f>Calcoli!$M$325</f>
        <v>0</v>
      </c>
      <c r="Q63" s="104">
        <f>Calcoli!$N$325</f>
        <v>39.62</v>
      </c>
      <c r="R63" s="104">
        <f>Calcoli!$O$325</f>
        <v>108.17</v>
      </c>
      <c r="S63" s="1" t="n"/>
      <c r="T63" s="1" t="n"/>
    </row>
    <row r="64">
      <c r="A64" s="1" t="n"/>
      <c r="B64" s="1" t="n"/>
      <c r="C64" s="1" t="n"/>
      <c r="D64" s="52" t="inlineStr">
        <is>
          <t>Compaiono gli ETF del foglio ETF con almeno un dividendo nei Movimenti. «Da sempre» somma tutti gli anni.</t>
        </is>
      </c>
      <c r="S64" s="1" t="n"/>
      <c r="T64" s="1" t="n"/>
    </row>
  </sheetData>
  <mergeCells count="22">
    <mergeCell ref="D11:F11"/>
    <mergeCell ref="D2:O2"/>
    <mergeCell ref="O12:R12"/>
    <mergeCell ref="O11:R11"/>
    <mergeCell ref="D32:R32"/>
    <mergeCell ref="G8:H8"/>
    <mergeCell ref="K10:N10"/>
    <mergeCell ref="G7:H7"/>
    <mergeCell ref="J7:R7"/>
    <mergeCell ref="G12:J12"/>
    <mergeCell ref="D12:F12"/>
    <mergeCell ref="D4:R4"/>
    <mergeCell ref="O10:R10"/>
    <mergeCell ref="G11:J11"/>
    <mergeCell ref="D64:R64"/>
    <mergeCell ref="K11:N11"/>
    <mergeCell ref="D5:R5"/>
    <mergeCell ref="J8:R8"/>
    <mergeCell ref="D44:R44"/>
    <mergeCell ref="G10:J10"/>
    <mergeCell ref="D10:F10"/>
    <mergeCell ref="K12:N12"/>
  </mergeCells>
  <conditionalFormatting sqref="R36:R43">
    <cfRule type="expression" priority="1" dxfId="3">
      <formula>AND(ISNUMBER($R36),$R36&gt;0)</formula>
    </cfRule>
    <cfRule type="expression" priority="2" dxfId="2">
      <formula>AND(ISNUMBER($R36),$R36&lt;0)</formula>
    </cfRule>
  </conditionalFormatting>
  <dataValidations count="2">
    <dataValidation sqref="G7" showDropDown="0" showInputMessage="0" showErrorMessage="1" allowBlank="1" errorTitle="Anno non valido" error="Scrivi un anno, per esempio 2025, oppure lascia vuoto per l’anno della data dei prezzi." type="whole" operator="between">
      <formula1>1990</formula1>
      <formula2>2100</formula2>
    </dataValidation>
    <dataValidation sqref="G8" showDropDown="0" showInputMessage="0" showErrorMessage="1" allowBlank="0" errorTitle="Scegli dal menu" error="Netti: quello che arriva sul conto. Lordi: prima delle tasse." type="list">
      <formula1>"Netti,Lordi"</formula1>
    </dataValidation>
  </dataValidations>
  <hyperlinks>
    <hyperlink ref="B4" location="'Riepilogo'!A1" display="   📊   Riepilogo"/>
    <hyperlink ref="B5" location="'Ribilanciamento'!A1" display="   ⚖   Ribilanciamento"/>
    <hyperlink ref="B6" location="'Dividendi'!A1" display="   💶   Dividendi"/>
    <hyperlink ref="B9" location="'ETF'!A1" display="   ▸  ETF"/>
    <hyperlink ref="B10" location="'Movimenti'!A1" display="   ✎  Movimenti"/>
    <hyperlink ref="B11" location="'Storico'!A1" display="   ▸  Storico"/>
    <hyperlink ref="B12" location="'Impostazioni'!A1" display="   ⚙  Impostazioni"/>
    <hyperlink ref="B13" location="'Inizia qui'!A1" display="   ?  Guida"/>
  </hyperlinks>
  <pageMargins left="0.75" right="0.75" top="1" bottom="1" header="0.5" footer="0.5"/>
  <pageSetup orientation="portrait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B9C2D1"/>
    <outlinePr summaryBelow="1" summaryRight="1"/>
    <pageSetUpPr/>
  </sheetPr>
  <dimension ref="A1:S29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14" customWidth="1" min="3" max="3"/>
    <col width="15" customWidth="1" min="4" max="4"/>
    <col width="12" customWidth="1" min="5" max="5"/>
    <col width="14" customWidth="1" min="6" max="6"/>
    <col width="8" customWidth="1" min="7" max="7"/>
    <col width="10" customWidth="1" min="8" max="8"/>
    <col width="11" customWidth="1" min="9" max="9"/>
    <col width="10" customWidth="1" min="10" max="10"/>
    <col width="10" customWidth="1" min="11" max="11"/>
    <col width="11" customWidth="1" min="12" max="12"/>
    <col width="10" customWidth="1" min="13" max="13"/>
    <col width="11" customWidth="1" min="14" max="14"/>
    <col width="11" customWidth="1" min="15" max="15"/>
    <col width="9" customWidth="1" min="16" max="16"/>
    <col width="10" customWidth="1" min="17" max="17"/>
    <col width="12.5" customWidth="1" min="18" max="18"/>
    <col width="9" customWidth="1" min="19" max="19"/>
  </cols>
  <sheetData>
    <row r="1">
      <c r="A1" s="105" t="inlineStr">
        <is>
          <t>ETF</t>
        </is>
      </c>
    </row>
    <row r="2">
      <c r="A2" s="106" t="inlineStr">
        <is>
          <t>Un ETF per riga: peso obiettivo, prezzo di oggi e costi. Le quote e il prezzo medio si calcolano dai movimenti.</t>
        </is>
      </c>
    </row>
    <row r="3">
      <c r="A3" s="107" t="inlineStr">
        <is>
          <t>← Torna al Riepilogo</t>
        </is>
      </c>
      <c r="E3" s="108" t="inlineStr">
        <is>
          <t>Gli ETF di Elena sono un esempio inventato, non un consiglio: sostituiscili con i tuoi (colonne da A a L).</t>
        </is>
      </c>
    </row>
    <row r="4">
      <c r="A4" s="109" t="inlineStr">
        <is>
          <t>Da compilare</t>
        </is>
      </c>
      <c r="B4" s="110" t="inlineStr">
        <is>
          <t>← le celle gialle sono le uniche da personalizzare; tutte le altre si calcolano da sole.</t>
        </is>
      </c>
    </row>
    <row r="5">
      <c r="A5" s="111" t="inlineStr">
        <is>
          <t>I TUOI ETF</t>
        </is>
      </c>
      <c r="K5" s="111" t="inlineStr">
        <is>
          <t>SITUAZIONE DI PARTENZA (FACOLTATIVA)</t>
        </is>
      </c>
      <c r="M5" s="111" t="inlineStr">
        <is>
          <t>SI CALCOLANO DA SOLI</t>
        </is>
      </c>
    </row>
    <row r="6" ht="44" customHeight="1">
      <c r="A6" s="112" t="inlineStr">
        <is>
          <t>ETF (nome breve)</t>
        </is>
      </c>
      <c r="B6" s="113" t="inlineStr">
        <is>
          <t>Nome completo</t>
        </is>
      </c>
      <c r="C6" s="113" t="inlineStr">
        <is>
          <t>ISIN</t>
        </is>
      </c>
      <c r="D6" s="113" t="inlineStr">
        <is>
          <t>Classe</t>
        </is>
      </c>
      <c r="E6" s="113" t="inlineStr">
        <is>
          <t>Area</t>
        </is>
      </c>
      <c r="F6" s="113" t="inlineStr">
        <is>
          <t>Tipo</t>
        </is>
      </c>
      <c r="G6" s="113" t="inlineStr">
        <is>
          <t>TER</t>
        </is>
      </c>
      <c r="H6" s="113" t="str">
        <f>IF(Impostazioni!$B$11="Per classe","Quota dentro la classe","Peso obiettivo")</f>
        <v>Quota dentro la classe</v>
      </c>
      <c r="I6" s="113" t="inlineStr">
        <is>
          <t>Prezzo di oggi</t>
        </is>
      </c>
      <c r="J6" s="113" t="inlineStr">
        <is>
          <t>Aliquota sui guadagni</t>
        </is>
      </c>
      <c r="K6" s="113" t="inlineStr">
        <is>
          <t>Quote di partenza</t>
        </is>
      </c>
      <c r="L6" s="113" t="inlineStr">
        <is>
          <t>Prezzo medio di partenza</t>
        </is>
      </c>
      <c r="M6" s="114" t="inlineStr">
        <is>
          <t>Quote possedute</t>
        </is>
      </c>
      <c r="N6" s="115" t="inlineStr">
        <is>
          <t>Prezzo medio di carico</t>
        </is>
      </c>
      <c r="O6" s="115" t="inlineStr">
        <is>
          <t>Valore</t>
        </is>
      </c>
      <c r="P6" s="115" t="inlineStr">
        <is>
          <t>Peso attuale</t>
        </is>
      </c>
      <c r="Q6" s="115" t="inlineStr">
        <is>
          <t>Obiettivo sul totale</t>
        </is>
      </c>
      <c r="R6" s="115" t="inlineStr">
        <is>
          <t>Scostamento</t>
        </is>
      </c>
      <c r="S6" s="115" t="inlineStr">
        <is>
          <t>Stato</t>
        </is>
      </c>
    </row>
    <row r="7">
      <c r="A7" s="116" t="inlineStr">
        <is>
          <t>Azionario Mondo</t>
        </is>
      </c>
      <c r="B7" s="117" t="inlineStr">
        <is>
          <t>ETF azionario globale (esempio)</t>
        </is>
      </c>
      <c r="C7" s="116" t="n"/>
      <c r="D7" s="116" t="inlineStr">
        <is>
          <t>Azionario</t>
        </is>
      </c>
      <c r="E7" s="116" t="inlineStr">
        <is>
          <t>Mondo</t>
        </is>
      </c>
      <c r="F7" s="116" t="inlineStr">
        <is>
          <t>Accumulazione</t>
        </is>
      </c>
      <c r="G7" s="118" t="n">
        <v>0.002</v>
      </c>
      <c r="H7" s="119" t="n">
        <v>0.85</v>
      </c>
      <c r="I7" s="120" t="n">
        <v>113.04</v>
      </c>
      <c r="J7" s="119" t="n">
        <v>0.26</v>
      </c>
      <c r="K7" s="121" t="n">
        <v>40</v>
      </c>
      <c r="L7" s="120" t="n">
        <v>88.40000000000001</v>
      </c>
      <c r="M7" s="122">
        <f>IF(Calcoli!$B7=0,"",Calcoli!$F7)</f>
        <v>83</v>
      </c>
      <c r="N7" s="123">
        <f>IF(Calcoli!$B7=0,"",Calcoli!$H7)</f>
        <v>95.7558953053593</v>
      </c>
      <c r="O7" s="124">
        <f>IF(Calcoli!$B7=0,"",Calcoli!$J7)</f>
        <v>9382.32</v>
      </c>
      <c r="P7" s="125">
        <f>IF(Calcoli!$B7=0,"",Calcoli!$K7)</f>
        <v>0.549499862073328</v>
      </c>
      <c r="Q7" s="125">
        <f>IF(Calcoli!$B7=0,"",Calcoli!$M7)</f>
        <v>0.5525</v>
      </c>
      <c r="R7" s="126">
        <f>IF(Calcoli!$B7=0,"",Calcoli!$N7*100)</f>
        <v>-0.30001379266722</v>
      </c>
      <c r="S7" s="127" t="str">
        <f>IF(Calcoli!$B7=0,"",Calcoli!$W7)</f>
        <v>OK</v>
      </c>
    </row>
    <row r="8">
      <c r="A8" s="116" t="inlineStr">
        <is>
          <t>Azionario Emergenti</t>
        </is>
      </c>
      <c r="B8" s="117" t="inlineStr">
        <is>
          <t>ETF azionario mercati emergenti (esempio)</t>
        </is>
      </c>
      <c r="C8" s="116" t="n"/>
      <c r="D8" s="116" t="inlineStr">
        <is>
          <t>Azionario</t>
        </is>
      </c>
      <c r="E8" s="116" t="inlineStr">
        <is>
          <t>Emergenti</t>
        </is>
      </c>
      <c r="F8" s="116" t="inlineStr">
        <is>
          <t>Distribuzione</t>
        </is>
      </c>
      <c r="G8" s="118" t="n">
        <v>0.0018</v>
      </c>
      <c r="H8" s="119" t="n">
        <v>0.15</v>
      </c>
      <c r="I8" s="120" t="n">
        <v>43.9</v>
      </c>
      <c r="J8" s="119" t="n">
        <v>0.26</v>
      </c>
      <c r="K8" s="121" t="n"/>
      <c r="L8" s="120" t="n"/>
      <c r="M8" s="122">
        <f>IF(Calcoli!$B8=0,"",Calcoli!$F8)</f>
        <v>38</v>
      </c>
      <c r="N8" s="123">
        <f>IF(Calcoli!$B8=0,"",Calcoli!$H8)</f>
        <v>43.061052631579</v>
      </c>
      <c r="O8" s="124">
        <f>IF(Calcoli!$B8=0,"",Calcoli!$J8)</f>
        <v>1668.2</v>
      </c>
      <c r="P8" s="125">
        <f>IF(Calcoli!$B8=0,"",Calcoli!$K8)</f>
        <v>0.0977024520492507</v>
      </c>
      <c r="Q8" s="125">
        <f>IF(Calcoli!$B8=0,"",Calcoli!$M8)</f>
        <v>0.0975</v>
      </c>
      <c r="R8" s="126">
        <f>IF(Calcoli!$B8=0,"",Calcoli!$N8*100)</f>
        <v>0.0202452049250651</v>
      </c>
      <c r="S8" s="127" t="str">
        <f>IF(Calcoli!$B8=0,"",Calcoli!$W8)</f>
        <v>OK</v>
      </c>
    </row>
    <row r="9">
      <c r="A9" s="116" t="inlineStr">
        <is>
          <t>Titoli di Stato Euro</t>
        </is>
      </c>
      <c r="B9" s="117" t="inlineStr">
        <is>
          <t>ETF titoli di Stato dell’area euro (esempio)</t>
        </is>
      </c>
      <c r="C9" s="116" t="n"/>
      <c r="D9" s="116" t="inlineStr">
        <is>
          <t>Obbligazionario</t>
        </is>
      </c>
      <c r="E9" s="116" t="inlineStr">
        <is>
          <t>Europa</t>
        </is>
      </c>
      <c r="F9" s="116" t="inlineStr">
        <is>
          <t>Distribuzione</t>
        </is>
      </c>
      <c r="G9" s="118" t="n">
        <v>0.0015</v>
      </c>
      <c r="H9" s="119" t="n"/>
      <c r="I9" s="120" t="n">
        <v>104.84</v>
      </c>
      <c r="J9" s="119" t="n">
        <v>0.125</v>
      </c>
      <c r="K9" s="121" t="n">
        <v>30</v>
      </c>
      <c r="L9" s="120" t="n">
        <v>99.09999999999999</v>
      </c>
      <c r="M9" s="122">
        <f>IF(Calcoli!$B9=0,"",Calcoli!$F9)</f>
        <v>41</v>
      </c>
      <c r="N9" s="123">
        <f>IF(Calcoli!$B9=0,"",Calcoli!$H9)</f>
        <v>100.885609756098</v>
      </c>
      <c r="O9" s="124">
        <f>IF(Calcoli!$B9=0,"",Calcoli!$J9)</f>
        <v>4298.44</v>
      </c>
      <c r="P9" s="125">
        <f>IF(Calcoli!$B9=0,"",Calcoli!$K9)</f>
        <v>0.25174926746588</v>
      </c>
      <c r="Q9" s="125">
        <f>IF(Calcoli!$B9=0,"",Calcoli!$M9)</f>
        <v>0.25</v>
      </c>
      <c r="R9" s="126">
        <f>IF(Calcoli!$B9=0,"",Calcoli!$N9*100)</f>
        <v>0.174926746588</v>
      </c>
      <c r="S9" s="127" t="str">
        <f>IF(Calcoli!$B9=0,"",Calcoli!$W9)</f>
        <v>OK</v>
      </c>
    </row>
    <row r="10">
      <c r="A10" s="116" t="inlineStr">
        <is>
          <t>Oro</t>
        </is>
      </c>
      <c r="B10" s="117" t="inlineStr">
        <is>
          <t>ETC sull’oro fisico (esempio)</t>
        </is>
      </c>
      <c r="C10" s="116" t="n"/>
      <c r="D10" s="116" t="inlineStr">
        <is>
          <t>Materie prime</t>
        </is>
      </c>
      <c r="E10" s="116" t="inlineStr">
        <is>
          <t>Mondo</t>
        </is>
      </c>
      <c r="F10" s="116" t="inlineStr">
        <is>
          <t>Accumulazione</t>
        </is>
      </c>
      <c r="G10" s="118" t="n">
        <v>0.0012</v>
      </c>
      <c r="H10" s="119" t="n"/>
      <c r="I10" s="120" t="n">
        <v>101.49</v>
      </c>
      <c r="J10" s="119" t="n">
        <v>0.26</v>
      </c>
      <c r="K10" s="121" t="n"/>
      <c r="L10" s="120" t="n"/>
      <c r="M10" s="122">
        <f>IF(Calcoli!$B10=0,"",Calcoli!$F10)</f>
        <v>17</v>
      </c>
      <c r="N10" s="123">
        <f>IF(Calcoli!$B10=0,"",Calcoli!$H10)</f>
        <v>62.5541176470588</v>
      </c>
      <c r="O10" s="124">
        <f>IF(Calcoli!$B10=0,"",Calcoli!$J10)</f>
        <v>1725.33</v>
      </c>
      <c r="P10" s="125">
        <f>IF(Calcoli!$B10=0,"",Calcoli!$K10)</f>
        <v>0.101048418411542</v>
      </c>
      <c r="Q10" s="125">
        <f>IF(Calcoli!$B10=0,"",Calcoli!$M10)</f>
        <v>0.1</v>
      </c>
      <c r="R10" s="126">
        <f>IF(Calcoli!$B10=0,"",Calcoli!$N10*100)</f>
        <v>0.104841841154155</v>
      </c>
      <c r="S10" s="127" t="str">
        <f>IF(Calcoli!$B10=0,"",Calcoli!$W10)</f>
        <v>OK</v>
      </c>
    </row>
    <row r="11">
      <c r="A11" s="116" t="n"/>
      <c r="B11" s="117" t="n"/>
      <c r="C11" s="116" t="n"/>
      <c r="D11" s="116" t="n"/>
      <c r="E11" s="116" t="n"/>
      <c r="F11" s="116" t="n"/>
      <c r="G11" s="118" t="n"/>
      <c r="H11" s="119" t="n"/>
      <c r="I11" s="120" t="n"/>
      <c r="J11" s="119" t="n"/>
      <c r="K11" s="121" t="n"/>
      <c r="L11" s="120" t="n"/>
      <c r="M11" s="122" t="str">
        <f>IF(Calcoli!$B11=0,"",Calcoli!$F11)</f>
        <v/>
      </c>
      <c r="N11" s="123" t="str">
        <f>IF(Calcoli!$B11=0,"",Calcoli!$H11)</f>
        <v/>
      </c>
      <c r="O11" s="124" t="str">
        <f>IF(Calcoli!$B11=0,"",Calcoli!$J11)</f>
        <v/>
      </c>
      <c r="P11" s="125" t="str">
        <f>IF(Calcoli!$B11=0,"",Calcoli!$K11)</f>
        <v/>
      </c>
      <c r="Q11" s="125" t="str">
        <f>IF(Calcoli!$B11=0,"",Calcoli!$M11)</f>
        <v/>
      </c>
      <c r="R11" s="126" t="str">
        <f>IF(Calcoli!$B11=0,"",Calcoli!$N11*100)</f>
        <v/>
      </c>
      <c r="S11" s="127" t="str">
        <f>IF(Calcoli!$B11=0,"",Calcoli!$W11)</f>
        <v/>
      </c>
    </row>
    <row r="12">
      <c r="A12" s="116" t="n"/>
      <c r="B12" s="117" t="n"/>
      <c r="C12" s="116" t="n"/>
      <c r="D12" s="116" t="n"/>
      <c r="E12" s="116" t="n"/>
      <c r="F12" s="116" t="n"/>
      <c r="G12" s="118" t="n"/>
      <c r="H12" s="119" t="n"/>
      <c r="I12" s="120" t="n"/>
      <c r="J12" s="119" t="n"/>
      <c r="K12" s="121" t="n"/>
      <c r="L12" s="120" t="n"/>
      <c r="M12" s="122" t="str">
        <f>IF(Calcoli!$B12=0,"",Calcoli!$F12)</f>
        <v/>
      </c>
      <c r="N12" s="123" t="str">
        <f>IF(Calcoli!$B12=0,"",Calcoli!$H12)</f>
        <v/>
      </c>
      <c r="O12" s="124" t="str">
        <f>IF(Calcoli!$B12=0,"",Calcoli!$J12)</f>
        <v/>
      </c>
      <c r="P12" s="125" t="str">
        <f>IF(Calcoli!$B12=0,"",Calcoli!$K12)</f>
        <v/>
      </c>
      <c r="Q12" s="125" t="str">
        <f>IF(Calcoli!$B12=0,"",Calcoli!$M12)</f>
        <v/>
      </c>
      <c r="R12" s="126" t="str">
        <f>IF(Calcoli!$B12=0,"",Calcoli!$N12*100)</f>
        <v/>
      </c>
      <c r="S12" s="127" t="str">
        <f>IF(Calcoli!$B12=0,"",Calcoli!$W12)</f>
        <v/>
      </c>
    </row>
    <row r="13">
      <c r="A13" s="116" t="n"/>
      <c r="B13" s="117" t="n"/>
      <c r="C13" s="116" t="n"/>
      <c r="D13" s="116" t="n"/>
      <c r="E13" s="116" t="n"/>
      <c r="F13" s="116" t="n"/>
      <c r="G13" s="118" t="n"/>
      <c r="H13" s="119" t="n"/>
      <c r="I13" s="120" t="n"/>
      <c r="J13" s="119" t="n"/>
      <c r="K13" s="121" t="n"/>
      <c r="L13" s="120" t="n"/>
      <c r="M13" s="122" t="str">
        <f>IF(Calcoli!$B13=0,"",Calcoli!$F13)</f>
        <v/>
      </c>
      <c r="N13" s="123" t="str">
        <f>IF(Calcoli!$B13=0,"",Calcoli!$H13)</f>
        <v/>
      </c>
      <c r="O13" s="124" t="str">
        <f>IF(Calcoli!$B13=0,"",Calcoli!$J13)</f>
        <v/>
      </c>
      <c r="P13" s="125" t="str">
        <f>IF(Calcoli!$B13=0,"",Calcoli!$K13)</f>
        <v/>
      </c>
      <c r="Q13" s="125" t="str">
        <f>IF(Calcoli!$B13=0,"",Calcoli!$M13)</f>
        <v/>
      </c>
      <c r="R13" s="126" t="str">
        <f>IF(Calcoli!$B13=0,"",Calcoli!$N13*100)</f>
        <v/>
      </c>
      <c r="S13" s="127" t="str">
        <f>IF(Calcoli!$B13=0,"",Calcoli!$W13)</f>
        <v/>
      </c>
    </row>
    <row r="14">
      <c r="A14" s="116" t="n"/>
      <c r="B14" s="117" t="n"/>
      <c r="C14" s="116" t="n"/>
      <c r="D14" s="116" t="n"/>
      <c r="E14" s="116" t="n"/>
      <c r="F14" s="116" t="n"/>
      <c r="G14" s="118" t="n"/>
      <c r="H14" s="119" t="n"/>
      <c r="I14" s="120" t="n"/>
      <c r="J14" s="119" t="n"/>
      <c r="K14" s="121" t="n"/>
      <c r="L14" s="120" t="n"/>
      <c r="M14" s="122" t="str">
        <f>IF(Calcoli!$B14=0,"",Calcoli!$F14)</f>
        <v/>
      </c>
      <c r="N14" s="123" t="str">
        <f>IF(Calcoli!$B14=0,"",Calcoli!$H14)</f>
        <v/>
      </c>
      <c r="O14" s="124" t="str">
        <f>IF(Calcoli!$B14=0,"",Calcoli!$J14)</f>
        <v/>
      </c>
      <c r="P14" s="125" t="str">
        <f>IF(Calcoli!$B14=0,"",Calcoli!$K14)</f>
        <v/>
      </c>
      <c r="Q14" s="125" t="str">
        <f>IF(Calcoli!$B14=0,"",Calcoli!$M14)</f>
        <v/>
      </c>
      <c r="R14" s="126" t="str">
        <f>IF(Calcoli!$B14=0,"",Calcoli!$N14*100)</f>
        <v/>
      </c>
      <c r="S14" s="127" t="str">
        <f>IF(Calcoli!$B14=0,"",Calcoli!$W14)</f>
        <v/>
      </c>
    </row>
    <row r="15">
      <c r="A15" s="116" t="n"/>
      <c r="B15" s="117" t="n"/>
      <c r="C15" s="116" t="n"/>
      <c r="D15" s="116" t="n"/>
      <c r="E15" s="116" t="n"/>
      <c r="F15" s="116" t="n"/>
      <c r="G15" s="118" t="n"/>
      <c r="H15" s="119" t="n"/>
      <c r="I15" s="120" t="n"/>
      <c r="J15" s="119" t="n"/>
      <c r="K15" s="121" t="n"/>
      <c r="L15" s="120" t="n"/>
      <c r="M15" s="122" t="str">
        <f>IF(Calcoli!$B15=0,"",Calcoli!$F15)</f>
        <v/>
      </c>
      <c r="N15" s="123" t="str">
        <f>IF(Calcoli!$B15=0,"",Calcoli!$H15)</f>
        <v/>
      </c>
      <c r="O15" s="124" t="str">
        <f>IF(Calcoli!$B15=0,"",Calcoli!$J15)</f>
        <v/>
      </c>
      <c r="P15" s="125" t="str">
        <f>IF(Calcoli!$B15=0,"",Calcoli!$K15)</f>
        <v/>
      </c>
      <c r="Q15" s="125" t="str">
        <f>IF(Calcoli!$B15=0,"",Calcoli!$M15)</f>
        <v/>
      </c>
      <c r="R15" s="126" t="str">
        <f>IF(Calcoli!$B15=0,"",Calcoli!$N15*100)</f>
        <v/>
      </c>
      <c r="S15" s="127" t="str">
        <f>IF(Calcoli!$B15=0,"",Calcoli!$W15)</f>
        <v/>
      </c>
    </row>
    <row r="16">
      <c r="A16" s="116" t="n"/>
      <c r="B16" s="117" t="n"/>
      <c r="C16" s="116" t="n"/>
      <c r="D16" s="116" t="n"/>
      <c r="E16" s="116" t="n"/>
      <c r="F16" s="116" t="n"/>
      <c r="G16" s="118" t="n"/>
      <c r="H16" s="119" t="n"/>
      <c r="I16" s="120" t="n"/>
      <c r="J16" s="119" t="n"/>
      <c r="K16" s="121" t="n"/>
      <c r="L16" s="120" t="n"/>
      <c r="M16" s="122" t="str">
        <f>IF(Calcoli!$B16=0,"",Calcoli!$F16)</f>
        <v/>
      </c>
      <c r="N16" s="123" t="str">
        <f>IF(Calcoli!$B16=0,"",Calcoli!$H16)</f>
        <v/>
      </c>
      <c r="O16" s="124" t="str">
        <f>IF(Calcoli!$B16=0,"",Calcoli!$J16)</f>
        <v/>
      </c>
      <c r="P16" s="125" t="str">
        <f>IF(Calcoli!$B16=0,"",Calcoli!$K16)</f>
        <v/>
      </c>
      <c r="Q16" s="125" t="str">
        <f>IF(Calcoli!$B16=0,"",Calcoli!$M16)</f>
        <v/>
      </c>
      <c r="R16" s="126" t="str">
        <f>IF(Calcoli!$B16=0,"",Calcoli!$N16*100)</f>
        <v/>
      </c>
      <c r="S16" s="127" t="str">
        <f>IF(Calcoli!$B16=0,"",Calcoli!$W16)</f>
        <v/>
      </c>
    </row>
    <row r="17">
      <c r="A17" s="116" t="n"/>
      <c r="B17" s="117" t="n"/>
      <c r="C17" s="116" t="n"/>
      <c r="D17" s="116" t="n"/>
      <c r="E17" s="116" t="n"/>
      <c r="F17" s="116" t="n"/>
      <c r="G17" s="118" t="n"/>
      <c r="H17" s="119" t="n"/>
      <c r="I17" s="120" t="n"/>
      <c r="J17" s="119" t="n"/>
      <c r="K17" s="121" t="n"/>
      <c r="L17" s="120" t="n"/>
      <c r="M17" s="122" t="str">
        <f>IF(Calcoli!$B17=0,"",Calcoli!$F17)</f>
        <v/>
      </c>
      <c r="N17" s="123" t="str">
        <f>IF(Calcoli!$B17=0,"",Calcoli!$H17)</f>
        <v/>
      </c>
      <c r="O17" s="124" t="str">
        <f>IF(Calcoli!$B17=0,"",Calcoli!$J17)</f>
        <v/>
      </c>
      <c r="P17" s="125" t="str">
        <f>IF(Calcoli!$B17=0,"",Calcoli!$K17)</f>
        <v/>
      </c>
      <c r="Q17" s="125" t="str">
        <f>IF(Calcoli!$B17=0,"",Calcoli!$M17)</f>
        <v/>
      </c>
      <c r="R17" s="126" t="str">
        <f>IF(Calcoli!$B17=0,"",Calcoli!$N17*100)</f>
        <v/>
      </c>
      <c r="S17" s="127" t="str">
        <f>IF(Calcoli!$B17=0,"",Calcoli!$W17)</f>
        <v/>
      </c>
    </row>
    <row r="18">
      <c r="A18" s="116" t="n"/>
      <c r="B18" s="117" t="n"/>
      <c r="C18" s="116" t="n"/>
      <c r="D18" s="116" t="n"/>
      <c r="E18" s="116" t="n"/>
      <c r="F18" s="116" t="n"/>
      <c r="G18" s="118" t="n"/>
      <c r="H18" s="119" t="n"/>
      <c r="I18" s="120" t="n"/>
      <c r="J18" s="119" t="n"/>
      <c r="K18" s="121" t="n"/>
      <c r="L18" s="120" t="n"/>
      <c r="M18" s="122" t="str">
        <f>IF(Calcoli!$B18=0,"",Calcoli!$F18)</f>
        <v/>
      </c>
      <c r="N18" s="123" t="str">
        <f>IF(Calcoli!$B18=0,"",Calcoli!$H18)</f>
        <v/>
      </c>
      <c r="O18" s="124" t="str">
        <f>IF(Calcoli!$B18=0,"",Calcoli!$J18)</f>
        <v/>
      </c>
      <c r="P18" s="125" t="str">
        <f>IF(Calcoli!$B18=0,"",Calcoli!$K18)</f>
        <v/>
      </c>
      <c r="Q18" s="125" t="str">
        <f>IF(Calcoli!$B18=0,"",Calcoli!$M18)</f>
        <v/>
      </c>
      <c r="R18" s="126" t="str">
        <f>IF(Calcoli!$B18=0,"",Calcoli!$N18*100)</f>
        <v/>
      </c>
      <c r="S18" s="127" t="str">
        <f>IF(Calcoli!$B18=0,"",Calcoli!$W18)</f>
        <v/>
      </c>
    </row>
    <row r="19">
      <c r="A19" s="116" t="n"/>
      <c r="B19" s="117" t="n"/>
      <c r="C19" s="116" t="n"/>
      <c r="D19" s="116" t="n"/>
      <c r="E19" s="116" t="n"/>
      <c r="F19" s="116" t="n"/>
      <c r="G19" s="118" t="n"/>
      <c r="H19" s="119" t="n"/>
      <c r="I19" s="120" t="n"/>
      <c r="J19" s="119" t="n"/>
      <c r="K19" s="121" t="n"/>
      <c r="L19" s="120" t="n"/>
      <c r="M19" s="122" t="str">
        <f>IF(Calcoli!$B19=0,"",Calcoli!$F19)</f>
        <v/>
      </c>
      <c r="N19" s="123" t="str">
        <f>IF(Calcoli!$B19=0,"",Calcoli!$H19)</f>
        <v/>
      </c>
      <c r="O19" s="124" t="str">
        <f>IF(Calcoli!$B19=0,"",Calcoli!$J19)</f>
        <v/>
      </c>
      <c r="P19" s="125" t="str">
        <f>IF(Calcoli!$B19=0,"",Calcoli!$K19)</f>
        <v/>
      </c>
      <c r="Q19" s="125" t="str">
        <f>IF(Calcoli!$B19=0,"",Calcoli!$M19)</f>
        <v/>
      </c>
      <c r="R19" s="126" t="str">
        <f>IF(Calcoli!$B19=0,"",Calcoli!$N19*100)</f>
        <v/>
      </c>
      <c r="S19" s="127" t="str">
        <f>IF(Calcoli!$B19=0,"",Calcoli!$W19)</f>
        <v/>
      </c>
    </row>
    <row r="20">
      <c r="A20" s="116" t="n"/>
      <c r="B20" s="117" t="n"/>
      <c r="C20" s="116" t="n"/>
      <c r="D20" s="116" t="n"/>
      <c r="E20" s="116" t="n"/>
      <c r="F20" s="116" t="n"/>
      <c r="G20" s="118" t="n"/>
      <c r="H20" s="119" t="n"/>
      <c r="I20" s="120" t="n"/>
      <c r="J20" s="119" t="n"/>
      <c r="K20" s="121" t="n"/>
      <c r="L20" s="120" t="n"/>
      <c r="M20" s="122" t="str">
        <f>IF(Calcoli!$B20=0,"",Calcoli!$F20)</f>
        <v/>
      </c>
      <c r="N20" s="123" t="str">
        <f>IF(Calcoli!$B20=0,"",Calcoli!$H20)</f>
        <v/>
      </c>
      <c r="O20" s="124" t="str">
        <f>IF(Calcoli!$B20=0,"",Calcoli!$J20)</f>
        <v/>
      </c>
      <c r="P20" s="125" t="str">
        <f>IF(Calcoli!$B20=0,"",Calcoli!$K20)</f>
        <v/>
      </c>
      <c r="Q20" s="125" t="str">
        <f>IF(Calcoli!$B20=0,"",Calcoli!$M20)</f>
        <v/>
      </c>
      <c r="R20" s="126" t="str">
        <f>IF(Calcoli!$B20=0,"",Calcoli!$N20*100)</f>
        <v/>
      </c>
      <c r="S20" s="127" t="str">
        <f>IF(Calcoli!$B20=0,"",Calcoli!$W20)</f>
        <v/>
      </c>
    </row>
    <row r="21">
      <c r="A21" s="116" t="n"/>
      <c r="B21" s="117" t="n"/>
      <c r="C21" s="116" t="n"/>
      <c r="D21" s="116" t="n"/>
      <c r="E21" s="116" t="n"/>
      <c r="F21" s="116" t="n"/>
      <c r="G21" s="118" t="n"/>
      <c r="H21" s="119" t="n"/>
      <c r="I21" s="120" t="n"/>
      <c r="J21" s="119" t="n"/>
      <c r="K21" s="121" t="n"/>
      <c r="L21" s="120" t="n"/>
      <c r="M21" s="122" t="str">
        <f>IF(Calcoli!$B21=0,"",Calcoli!$F21)</f>
        <v/>
      </c>
      <c r="N21" s="123" t="str">
        <f>IF(Calcoli!$B21=0,"",Calcoli!$H21)</f>
        <v/>
      </c>
      <c r="O21" s="124" t="str">
        <f>IF(Calcoli!$B21=0,"",Calcoli!$J21)</f>
        <v/>
      </c>
      <c r="P21" s="125" t="str">
        <f>IF(Calcoli!$B21=0,"",Calcoli!$K21)</f>
        <v/>
      </c>
      <c r="Q21" s="125" t="str">
        <f>IF(Calcoli!$B21=0,"",Calcoli!$M21)</f>
        <v/>
      </c>
      <c r="R21" s="126" t="str">
        <f>IF(Calcoli!$B21=0,"",Calcoli!$N21*100)</f>
        <v/>
      </c>
      <c r="S21" s="127" t="str">
        <f>IF(Calcoli!$B21=0,"",Calcoli!$W21)</f>
        <v/>
      </c>
    </row>
    <row r="22">
      <c r="A22" s="128" t="inlineStr">
        <is>
          <t>Totale</t>
        </is>
      </c>
      <c r="H22" s="129" t="str">
        <f>IF(Impostazioni!$B$11="Per classe","",SUM(H7:H21))</f>
        <v/>
      </c>
      <c r="I22" s="130" t="str">
        <f>IF(Impostazioni!$B$11="Per classe","pesi delle classi: in Impostazioni",IF(ROUND(H22,4)=1,"✓ i pesi fanno 100%","⚠ i pesi devono fare 100%"))</f>
        <v>pesi delle classi: in Impostazioni</v>
      </c>
      <c r="O22" s="131">
        <f>SUM(O7:O21)</f>
        <v>17074.29</v>
      </c>
      <c r="P22" s="129">
        <f>SUM(P7:P21)</f>
        <v>1</v>
      </c>
      <c r="Q22" s="129">
        <f>SUM(Q7:Q21)</f>
        <v>1</v>
      </c>
    </row>
    <row r="24">
      <c r="A24" s="110" t="inlineStr">
        <is>
          <t>Nome breve: lo usi nel foglio Movimenti; ogni ETF deve averne uno diverso. Puoi usare il ticker, per esempio quello di Borsa Italiana.</t>
        </is>
      </c>
    </row>
    <row r="25">
      <c r="A25" s="110" t="inlineStr">
        <is>
          <t>Pesi «Per ETF» (in Impostazioni): nella colonna H scrivi quanto vuoi che pesi ogni ETF sul totale; in tutto devono fare 100%.</t>
        </is>
      </c>
    </row>
    <row r="26">
      <c r="A26" s="110" t="inlineStr">
        <is>
          <t>Pesi «Per classe»: in Impostazioni scrivi il peso di ogni classe (per esempio Obbligazionario 20%); qui, nella colonna H, come dividerlo tra gli ETF della stessa classe (per esempio 70% e 30%). Se lasci vuote le quote di una classe, si divide in parti uguali.</t>
        </is>
      </c>
    </row>
    <row r="27">
      <c r="A27" s="110" t="inlineStr">
        <is>
          <t>Prezzo di oggi: non si aggiorna da solo. Scrivilo quando vuoi rivedere il portafoglio e cambia la data in Impostazioni. Per automatizzarlo puoi scrivere qui una formula (in Google Sheets =GOOGLEFINANCE("BIT:TICKER"), che però non trova tutti gli ETF quotati a Milano): se non trova il prezzo, l’ETF risulta senza prezzo.</t>
        </is>
      </c>
    </row>
    <row r="28">
      <c r="A28" s="110" t="inlineStr">
        <is>
          <t>Aliquota: 26% in generale; per gli ETF di titoli di Stato può essere più bassa (12,5% se investono solo in titoli di Stato italiani o della white list). Lo strumento «Tasse sugli ETF» del sito aiuta a stimarla.</t>
        </is>
      </c>
    </row>
    <row r="29">
      <c r="A29" s="110" t="inlineStr">
        <is>
          <t>Situazione di partenza: se non vuoi registrare tutti i movimenti passati, scrivi le quote che hai e il prezzo medio di carico del tuo conto titoli; i movimenti successivi si aggiungono a queste.</t>
        </is>
      </c>
    </row>
  </sheetData>
  <mergeCells count="4">
    <mergeCell ref="I22:L22"/>
    <mergeCell ref="A5:J5"/>
    <mergeCell ref="K5:L5"/>
    <mergeCell ref="M5:S5"/>
  </mergeCells>
  <conditionalFormatting sqref="H22:I22">
    <cfRule type="expression" priority="1" dxfId="4">
      <formula>AND($H$6="Peso obiettivo",ROUND(N($H$22),4)&lt;&gt;1)</formula>
    </cfRule>
    <cfRule type="expression" priority="2" dxfId="5">
      <formula>$H$6&lt;&gt;"Peso obiettivo"</formula>
    </cfRule>
  </conditionalFormatting>
  <conditionalFormatting sqref="A7:A21">
    <cfRule type="expression" priority="3" dxfId="6">
      <formula>AND(A7&lt;&gt;"",COUNTIF($A$7:$A$21,A7)&gt;1)</formula>
    </cfRule>
  </conditionalFormatting>
  <conditionalFormatting sqref="S7:S21">
    <cfRule type="expression" priority="4" dxfId="4">
      <formula>OR(S7="Sopra",S7="Sotto")</formula>
    </cfRule>
    <cfRule type="expression" priority="5" dxfId="7">
      <formula>S7="OK"</formula>
    </cfRule>
  </conditionalFormatting>
  <dataValidations count="6">
    <dataValidation sqref="D7:D21" showDropDown="0" showInputMessage="0" showErrorMessage="0" allowBlank="1" type="list">
      <formula1>Impostazioni!$E$5:$E$14</formula1>
    </dataValidation>
    <dataValidation sqref="E7:E21" showDropDown="0" showInputMessage="0" showErrorMessage="0" allowBlank="1" type="list">
      <formula1>Impostazioni!$H$5:$H$14</formula1>
    </dataValidation>
    <dataValidation sqref="F7:F21" showDropDown="0" showInputMessage="0" showErrorMessage="1" allowBlank="1" errorTitle="Tipo non valido" error="Scegli Accumulazione o Distribuzione." type="list">
      <formula1>"Accumulazione,Distribuzione"</formula1>
    </dataValidation>
    <dataValidation sqref="G7:G21 H7:H21 J7:J21" showDropDown="0" showInputMessage="0" showErrorMessage="1" allowBlank="1" errorTitle="Percentuale non valida" error="Scrivi la percentuale con il simbolo %, per esempio 0,20% o 26%." type="decimal" operator="between">
      <formula1>0</formula1>
      <formula2>1</formula2>
    </dataValidation>
    <dataValidation sqref="I7:I21 L7:L21" showDropDown="0" showInputMessage="0" showErrorMessage="1" allowBlank="1" errorTitle="Prezzo non valido" error="Scrivi il prezzo in euro." type="decimal" operator="greaterThanOrEqual">
      <formula1>0</formula1>
    </dataValidation>
    <dataValidation sqref="K7:K21" showDropDown="0" showInputMessage="0" showErrorMessage="1" allowBlank="1" errorTitle="Quote non valide" error="Scrivi il numero di quote." type="decimal" operator="greaterThanOrEqual">
      <formula1>0</formula1>
    </dataValidation>
  </dataValidations>
  <hyperlinks>
    <hyperlink ref="A3" location="'Riepilogo'!A1" display="← Torna al Riepilogo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B9C2D1"/>
    <outlinePr summaryBelow="1" summaryRight="1"/>
    <pageSetUpPr/>
  </sheetPr>
  <dimension ref="A1:W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9" customWidth="1" min="4" max="4"/>
    <col width="12" customWidth="1" min="5" max="5"/>
    <col width="12" customWidth="1" min="6" max="6"/>
    <col width="11" customWidth="1" min="7" max="7"/>
    <col width="11" customWidth="1" min="8" max="8"/>
    <col width="32" customWidth="1" min="9" max="9"/>
    <col width="12" customWidth="1" min="10" max="10"/>
    <col width="10" customWidth="1" min="11" max="11"/>
    <col width="13" customWidth="1" min="12" max="12"/>
    <col width="10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>
      <c r="A1" s="105" t="inlineStr">
        <is>
          <t>Movimenti</t>
        </is>
      </c>
    </row>
    <row r="2">
      <c r="A2" s="106" t="inlineStr">
        <is>
          <t>Acquisti, vendite e dividendi, in ordine di data. Importo, tasse e flusso si calcolano da soli.</t>
        </is>
      </c>
    </row>
    <row r="3">
      <c r="A3" s="107" t="inlineStr">
        <is>
          <t>← Torna al Riepilogo</t>
        </is>
      </c>
      <c r="C3" s="132" t="inlineStr">
        <is>
          <t>Da compilare</t>
        </is>
      </c>
      <c r="D3" s="110" t="inlineStr">
        <is>
          <t>← celle gialle</t>
        </is>
      </c>
      <c r="F3" s="133" t="inlineStr">
        <is>
          <t>Scrivi i movimenti in ordine di data, con l’importo sempre positivo. I movimenti di Elena sono un esempio inventato: cancellali (colonne da A a I) prima di iniziare.</t>
        </is>
      </c>
    </row>
    <row r="4" ht="32" customHeight="1">
      <c r="A4" s="112" t="inlineStr">
        <is>
          <t>Data</t>
        </is>
      </c>
      <c r="B4" s="113" t="inlineStr">
        <is>
          <t>Operazione</t>
        </is>
      </c>
      <c r="C4" s="113" t="inlineStr">
        <is>
          <t>ETF</t>
        </is>
      </c>
      <c r="D4" s="113" t="inlineStr">
        <is>
          <t>Quote</t>
        </is>
      </c>
      <c r="E4" s="113" t="inlineStr">
        <is>
          <t>Prezzo per quota</t>
        </is>
      </c>
      <c r="F4" s="113" t="inlineStr">
        <is>
          <t>Importo (facoltativo)</t>
        </is>
      </c>
      <c r="G4" s="113" t="inlineStr">
        <is>
          <t>Commissioni</t>
        </is>
      </c>
      <c r="H4" s="113" t="inlineStr">
        <is>
          <t>Tasse (facoltativo)</t>
        </is>
      </c>
      <c r="I4" s="113" t="inlineStr">
        <is>
          <t>Note</t>
        </is>
      </c>
      <c r="J4" s="114" t="inlineStr">
        <is>
          <t>Importo</t>
        </is>
      </c>
      <c r="K4" s="115" t="inlineStr">
        <is>
          <t>Tasse</t>
        </is>
      </c>
      <c r="L4" s="115" t="inlineStr">
        <is>
          <t>Flusso sul conto</t>
        </is>
      </c>
      <c r="M4" s="115" t="inlineStr">
        <is>
          <t>Controllo</t>
        </is>
      </c>
    </row>
    <row r="5">
      <c r="A5" s="134" t="n">
        <v>45601</v>
      </c>
      <c r="B5" s="116" t="inlineStr">
        <is>
          <t>Acquisto</t>
        </is>
      </c>
      <c r="C5" s="116" t="inlineStr">
        <is>
          <t>Azionario Emergenti</t>
        </is>
      </c>
      <c r="D5" s="121" t="n">
        <v>4</v>
      </c>
      <c r="E5" s="120" t="n">
        <v>41.61</v>
      </c>
      <c r="F5" s="120" t="n"/>
      <c r="G5" s="120" t="n">
        <v>1</v>
      </c>
      <c r="H5" s="120" t="n"/>
      <c r="I5" s="117" t="inlineStr">
        <is>
          <t>PAC mensile</t>
        </is>
      </c>
      <c r="J5" s="123">
        <f>IF(B5="","",IF(F5&lt;&gt;"",N(F5),ROUND(N(D5)*N(E5),2)))</f>
        <v>166.44</v>
      </c>
      <c r="K5" s="123">
        <f>IF(B5="","",IF(H5&lt;&gt;"",N(H5),IF(B5="Dividendo",ROUND(J5*IFERROR(INDEX(Calcoli!$V$7:$V$21,MATCH(C5,Calcoli!$A$7:$A$21,0)),0.26),2),IF(B5="Vendita",ROUND(MAX(0,U5)*IFERROR(INDEX(Calcoli!$V$7:$V$21,MATCH(C5,Calcoli!$A$7:$A$21,0)),0.26),2),0))))</f>
        <v>0</v>
      </c>
      <c r="L5" s="135">
        <f>IF(B5="","",IF(B5="Acquisto",-(J5+N(G5)),J5-N(G5)-K5))</f>
        <v>-167.44</v>
      </c>
      <c r="M5" s="127" t="str">
        <f>IF(B5="","",IF(ISNA(MATCH(C5,ETF!$A$7:$A$21,0)),"ETF?",IF(NOT(ISNUMBER(A5)),"Data?",IF(AND(B5&lt;&gt;"Dividendo",N(D5)&lt;=0),"Quote?",IF(AND(B5="Vendita",N(D5)&gt;N(Q5)+0.000001),"Quote?",IF(J5&lt;=0,"Importo?","✓"))))))</f>
        <v>✓</v>
      </c>
      <c r="N5">
        <f>IF(OR(B5="Acquisto",B5="Vendita"),COUNTIFS($C$5:C5,C5,$B$5:B5,"Acquisto")+COUNTIFS($C$5:C5,C5,$B$5:B5,"Vendita"),"")</f>
        <v>1</v>
      </c>
      <c r="O5" t="str">
        <f>IF(N5="","",C5&amp;"|"&amp;N5)</f>
        <v>Azionario Emergenti|1</v>
      </c>
      <c r="P5">
        <f>IF(N5="","",IF(N5=1,0,MATCH(C5&amp;"|"&amp;(N5-1),$O$5:$O$1004,0)))</f>
        <v>0</v>
      </c>
      <c r="Q5">
        <f>IF(N5="","",IF(P5=0,SUMIFS(Calcoli!$C$7:$C$21,Calcoli!$A$7:$A$21,C5),INDEX($S$5:$S$1004,P5)))</f>
        <v>0</v>
      </c>
      <c r="R5">
        <f>IF(N5="","",IF(P5=0,SUMIFS(Calcoli!$D$7:$D$21,Calcoli!$A$7:$A$21,C5),INDEX($T$5:$T$1004,P5)))</f>
        <v>0</v>
      </c>
      <c r="S5">
        <f>IF(N5="","",IF(B5="Acquisto",Q5+N(D5),MAX(0,Q5-N(D5))))</f>
        <v>4</v>
      </c>
      <c r="T5">
        <f>IF(N5="","",IF(B5="Acquisto",R5+J5+N(G5),IF(Q5&lt;=0,0,R5*(1-MIN(1,N(D5)/Q5)))))</f>
        <v>167.44</v>
      </c>
      <c r="U5" t="str">
        <f>IF(B5&lt;&gt;"Vendita","",J5-N(G5)-IF(Q5&lt;=0,0,R5*MIN(1,N(D5)/Q5)))</f>
        <v/>
      </c>
      <c r="V5" t="str">
        <f>IF(B5&lt;&gt;"Dividendo","",IF(Calcoli!$B$251=1,J5,L5))</f>
        <v/>
      </c>
      <c r="W5" t="str">
        <f>IF(AND(V5&lt;&gt;"",ISNUMBER(A5)),A5,"")</f>
        <v/>
      </c>
    </row>
    <row r="6">
      <c r="A6" s="134" t="n">
        <v>45601</v>
      </c>
      <c r="B6" s="116" t="inlineStr">
        <is>
          <t>Acquisto</t>
        </is>
      </c>
      <c r="C6" s="116" t="inlineStr">
        <is>
          <t>Oro</t>
        </is>
      </c>
      <c r="D6" s="121" t="n">
        <v>4</v>
      </c>
      <c r="E6" s="120" t="n">
        <v>53.44</v>
      </c>
      <c r="F6" s="120" t="n"/>
      <c r="G6" s="120" t="n">
        <v>1</v>
      </c>
      <c r="H6" s="120" t="n"/>
      <c r="I6" s="117" t="inlineStr">
        <is>
          <t>PAC mensile</t>
        </is>
      </c>
      <c r="J6" s="123">
        <f>IF(B6="","",IF(F6&lt;&gt;"",N(F6),ROUND(N(D6)*N(E6),2)))</f>
        <v>213.76</v>
      </c>
      <c r="K6" s="123">
        <f>IF(B6="","",IF(H6&lt;&gt;"",N(H6),IF(B6="Dividendo",ROUND(J6*IFERROR(INDEX(Calcoli!$V$7:$V$21,MATCH(C6,Calcoli!$A$7:$A$21,0)),0.26),2),IF(B6="Vendita",ROUND(MAX(0,U6)*IFERROR(INDEX(Calcoli!$V$7:$V$21,MATCH(C6,Calcoli!$A$7:$A$21,0)),0.26),2),0))))</f>
        <v>0</v>
      </c>
      <c r="L6" s="135">
        <f>IF(B6="","",IF(B6="Acquisto",-(J6+N(G6)),J6-N(G6)-K6))</f>
        <v>-214.76</v>
      </c>
      <c r="M6" s="127" t="str">
        <f>IF(B6="","",IF(ISNA(MATCH(C6,ETF!$A$7:$A$21,0)),"ETF?",IF(NOT(ISNUMBER(A6)),"Data?",IF(AND(B6&lt;&gt;"Dividendo",N(D6)&lt;=0),"Quote?",IF(AND(B6="Vendita",N(D6)&gt;N(Q6)+0.000001),"Quote?",IF(J6&lt;=0,"Importo?","✓"))))))</f>
        <v>✓</v>
      </c>
      <c r="N6">
        <f>IF(OR(B6="Acquisto",B6="Vendita"),COUNTIFS($C$5:C6,C6,$B$5:B6,"Acquisto")+COUNTIFS($C$5:C6,C6,$B$5:B6,"Vendita"),"")</f>
        <v>1</v>
      </c>
      <c r="O6" t="str">
        <f>IF(N6="","",C6&amp;"|"&amp;N6)</f>
        <v>Oro|1</v>
      </c>
      <c r="P6">
        <f>IF(N6="","",IF(N6=1,0,MATCH(C6&amp;"|"&amp;(N6-1),$O$5:$O$1004,0)))</f>
        <v>0</v>
      </c>
      <c r="Q6">
        <f>IF(N6="","",IF(P6=0,SUMIFS(Calcoli!$C$7:$C$21,Calcoli!$A$7:$A$21,C6),INDEX($S$5:$S$1004,P6)))</f>
        <v>0</v>
      </c>
      <c r="R6">
        <f>IF(N6="","",IF(P6=0,SUMIFS(Calcoli!$D$7:$D$21,Calcoli!$A$7:$A$21,C6),INDEX($T$5:$T$1004,P6)))</f>
        <v>0</v>
      </c>
      <c r="S6">
        <f>IF(N6="","",IF(B6="Acquisto",Q6+N(D6),MAX(0,Q6-N(D6))))</f>
        <v>4</v>
      </c>
      <c r="T6">
        <f>IF(N6="","",IF(B6="Acquisto",R6+J6+N(G6),IF(Q6&lt;=0,0,R6*(1-MIN(1,N(D6)/Q6)))))</f>
        <v>214.76</v>
      </c>
      <c r="U6" t="str">
        <f>IF(B6&lt;&gt;"Vendita","",J6-N(G6)-IF(Q6&lt;=0,0,R6*MIN(1,N(D6)/Q6)))</f>
        <v/>
      </c>
      <c r="V6" t="str">
        <f>IF(B6&lt;&gt;"Dividendo","",IF(Calcoli!$B$251=1,J6,L6))</f>
        <v/>
      </c>
      <c r="W6" t="str">
        <f>IF(AND(V6&lt;&gt;"",ISNUMBER(A6)),A6,"")</f>
        <v/>
      </c>
    </row>
    <row r="7">
      <c r="A7" s="134" t="n">
        <v>45631</v>
      </c>
      <c r="B7" s="116" t="inlineStr">
        <is>
          <t>Acquisto</t>
        </is>
      </c>
      <c r="C7" s="116" t="inlineStr">
        <is>
          <t>Azionario Emergenti</t>
        </is>
      </c>
      <c r="D7" s="121" t="n">
        <v>5</v>
      </c>
      <c r="E7" s="120" t="n">
        <v>42.93</v>
      </c>
      <c r="F7" s="120" t="n"/>
      <c r="G7" s="120" t="n">
        <v>1</v>
      </c>
      <c r="H7" s="120" t="n"/>
      <c r="I7" s="117" t="inlineStr">
        <is>
          <t>PAC mensile</t>
        </is>
      </c>
      <c r="J7" s="123">
        <f>IF(B7="","",IF(F7&lt;&gt;"",N(F7),ROUND(N(D7)*N(E7),2)))</f>
        <v>214.65</v>
      </c>
      <c r="K7" s="123">
        <f>IF(B7="","",IF(H7&lt;&gt;"",N(H7),IF(B7="Dividendo",ROUND(J7*IFERROR(INDEX(Calcoli!$V$7:$V$21,MATCH(C7,Calcoli!$A$7:$A$21,0)),0.26),2),IF(B7="Vendita",ROUND(MAX(0,U7)*IFERROR(INDEX(Calcoli!$V$7:$V$21,MATCH(C7,Calcoli!$A$7:$A$21,0)),0.26),2),0))))</f>
        <v>0</v>
      </c>
      <c r="L7" s="135">
        <f>IF(B7="","",IF(B7="Acquisto",-(J7+N(G7)),J7-N(G7)-K7))</f>
        <v>-215.65</v>
      </c>
      <c r="M7" s="127" t="str">
        <f>IF(B7="","",IF(ISNA(MATCH(C7,ETF!$A$7:$A$21,0)),"ETF?",IF(NOT(ISNUMBER(A7)),"Data?",IF(AND(B7&lt;&gt;"Dividendo",N(D7)&lt;=0),"Quote?",IF(AND(B7="Vendita",N(D7)&gt;N(Q7)+0.000001),"Quote?",IF(J7&lt;=0,"Importo?","✓"))))))</f>
        <v>✓</v>
      </c>
      <c r="N7">
        <f>IF(OR(B7="Acquisto",B7="Vendita"),COUNTIFS($C$5:C7,C7,$B$5:B7,"Acquisto")+COUNTIFS($C$5:C7,C7,$B$5:B7,"Vendita"),"")</f>
        <v>2</v>
      </c>
      <c r="O7" t="str">
        <f>IF(N7="","",C7&amp;"|"&amp;N7)</f>
        <v>Azionario Emergenti|2</v>
      </c>
      <c r="P7">
        <f>IF(N7="","",IF(N7=1,0,MATCH(C7&amp;"|"&amp;(N7-1),$O$5:$O$1004,0)))</f>
        <v>1</v>
      </c>
      <c r="Q7">
        <f>IF(N7="","",IF(P7=0,SUMIFS(Calcoli!$C$7:$C$21,Calcoli!$A$7:$A$21,C7),INDEX($S$5:$S$1004,P7)))</f>
        <v>4</v>
      </c>
      <c r="R7">
        <f>IF(N7="","",IF(P7=0,SUMIFS(Calcoli!$D$7:$D$21,Calcoli!$A$7:$A$21,C7),INDEX($T$5:$T$1004,P7)))</f>
        <v>167.44</v>
      </c>
      <c r="S7">
        <f>IF(N7="","",IF(B7="Acquisto",Q7+N(D7),MAX(0,Q7-N(D7))))</f>
        <v>9</v>
      </c>
      <c r="T7">
        <f>IF(N7="","",IF(B7="Acquisto",R7+J7+N(G7),IF(Q7&lt;=0,0,R7*(1-MIN(1,N(D7)/Q7)))))</f>
        <v>383.09</v>
      </c>
      <c r="U7" t="str">
        <f>IF(B7&lt;&gt;"Vendita","",J7-N(G7)-IF(Q7&lt;=0,0,R7*MIN(1,N(D7)/Q7)))</f>
        <v/>
      </c>
      <c r="V7" t="str">
        <f>IF(B7&lt;&gt;"Dividendo","",IF(Calcoli!$B$251=1,J7,L7))</f>
        <v/>
      </c>
      <c r="W7" t="str">
        <f>IF(AND(V7&lt;&gt;"",ISNUMBER(A7)),A7,"")</f>
        <v/>
      </c>
    </row>
    <row r="8">
      <c r="A8" s="134" t="n">
        <v>45631</v>
      </c>
      <c r="B8" s="116" t="inlineStr">
        <is>
          <t>Acquisto</t>
        </is>
      </c>
      <c r="C8" s="116" t="inlineStr">
        <is>
          <t>Oro</t>
        </is>
      </c>
      <c r="D8" s="121" t="n">
        <v>3</v>
      </c>
      <c r="E8" s="120" t="n">
        <v>56.4</v>
      </c>
      <c r="F8" s="120" t="n"/>
      <c r="G8" s="120" t="n">
        <v>1</v>
      </c>
      <c r="H8" s="120" t="n"/>
      <c r="I8" s="117" t="inlineStr">
        <is>
          <t>PAC mensile</t>
        </is>
      </c>
      <c r="J8" s="123">
        <f>IF(B8="","",IF(F8&lt;&gt;"",N(F8),ROUND(N(D8)*N(E8),2)))</f>
        <v>169.2</v>
      </c>
      <c r="K8" s="123">
        <f>IF(B8="","",IF(H8&lt;&gt;"",N(H8),IF(B8="Dividendo",ROUND(J8*IFERROR(INDEX(Calcoli!$V$7:$V$21,MATCH(C8,Calcoli!$A$7:$A$21,0)),0.26),2),IF(B8="Vendita",ROUND(MAX(0,U8)*IFERROR(INDEX(Calcoli!$V$7:$V$21,MATCH(C8,Calcoli!$A$7:$A$21,0)),0.26),2),0))))</f>
        <v>0</v>
      </c>
      <c r="L8" s="135">
        <f>IF(B8="","",IF(B8="Acquisto",-(J8+N(G8)),J8-N(G8)-K8))</f>
        <v>-170.2</v>
      </c>
      <c r="M8" s="127" t="str">
        <f>IF(B8="","",IF(ISNA(MATCH(C8,ETF!$A$7:$A$21,0)),"ETF?",IF(NOT(ISNUMBER(A8)),"Data?",IF(AND(B8&lt;&gt;"Dividendo",N(D8)&lt;=0),"Quote?",IF(AND(B8="Vendita",N(D8)&gt;N(Q8)+0.000001),"Quote?",IF(J8&lt;=0,"Importo?","✓"))))))</f>
        <v>✓</v>
      </c>
      <c r="N8">
        <f>IF(OR(B8="Acquisto",B8="Vendita"),COUNTIFS($C$5:C8,C8,$B$5:B8,"Acquisto")+COUNTIFS($C$5:C8,C8,$B$5:B8,"Vendita"),"")</f>
        <v>2</v>
      </c>
      <c r="O8" t="str">
        <f>IF(N8="","",C8&amp;"|"&amp;N8)</f>
        <v>Oro|2</v>
      </c>
      <c r="P8">
        <f>IF(N8="","",IF(N8=1,0,MATCH(C8&amp;"|"&amp;(N8-1),$O$5:$O$1004,0)))</f>
        <v>2</v>
      </c>
      <c r="Q8">
        <f>IF(N8="","",IF(P8=0,SUMIFS(Calcoli!$C$7:$C$21,Calcoli!$A$7:$A$21,C8),INDEX($S$5:$S$1004,P8)))</f>
        <v>4</v>
      </c>
      <c r="R8">
        <f>IF(N8="","",IF(P8=0,SUMIFS(Calcoli!$D$7:$D$21,Calcoli!$A$7:$A$21,C8),INDEX($T$5:$T$1004,P8)))</f>
        <v>214.76</v>
      </c>
      <c r="S8">
        <f>IF(N8="","",IF(B8="Acquisto",Q8+N(D8),MAX(0,Q8-N(D8))))</f>
        <v>7</v>
      </c>
      <c r="T8">
        <f>IF(N8="","",IF(B8="Acquisto",R8+J8+N(G8),IF(Q8&lt;=0,0,R8*(1-MIN(1,N(D8)/Q8)))))</f>
        <v>384.96</v>
      </c>
      <c r="U8" t="str">
        <f>IF(B8&lt;&gt;"Vendita","",J8-N(G8)-IF(Q8&lt;=0,0,R8*MIN(1,N(D8)/Q8)))</f>
        <v/>
      </c>
      <c r="V8" t="str">
        <f>IF(B8&lt;&gt;"Dividendo","",IF(Calcoli!$B$251=1,J8,L8))</f>
        <v/>
      </c>
      <c r="W8" t="str">
        <f>IF(AND(V8&lt;&gt;"",ISNUMBER(A8)),A8,"")</f>
        <v/>
      </c>
    </row>
    <row r="9">
      <c r="A9" s="134" t="n">
        <v>45646</v>
      </c>
      <c r="B9" s="116" t="inlineStr">
        <is>
          <t>Dividendo</t>
        </is>
      </c>
      <c r="C9" s="116" t="inlineStr">
        <is>
          <t>Titoli di Stato Euro</t>
        </is>
      </c>
      <c r="D9" s="121" t="n">
        <v>30</v>
      </c>
      <c r="E9" s="120" t="n"/>
      <c r="F9" s="120" t="n">
        <v>18.6</v>
      </c>
      <c r="G9" s="120" t="n"/>
      <c r="H9" s="120" t="n"/>
      <c r="I9" s="117" t="inlineStr">
        <is>
          <t>Cedola semestrale</t>
        </is>
      </c>
      <c r="J9" s="123">
        <f>IF(B9="","",IF(F9&lt;&gt;"",N(F9),ROUND(N(D9)*N(E9),2)))</f>
        <v>18.6</v>
      </c>
      <c r="K9" s="123">
        <f>IF(B9="","",IF(H9&lt;&gt;"",N(H9),IF(B9="Dividendo",ROUND(J9*IFERROR(INDEX(Calcoli!$V$7:$V$21,MATCH(C9,Calcoli!$A$7:$A$21,0)),0.26),2),IF(B9="Vendita",ROUND(MAX(0,U9)*IFERROR(INDEX(Calcoli!$V$7:$V$21,MATCH(C9,Calcoli!$A$7:$A$21,0)),0.26),2),0))))</f>
        <v>2.33</v>
      </c>
      <c r="L9" s="135">
        <f>IF(B9="","",IF(B9="Acquisto",-(J9+N(G9)),J9-N(G9)-K9))</f>
        <v>16.27</v>
      </c>
      <c r="M9" s="127" t="str">
        <f>IF(B9="","",IF(ISNA(MATCH(C9,ETF!$A$7:$A$21,0)),"ETF?",IF(NOT(ISNUMBER(A9)),"Data?",IF(AND(B9&lt;&gt;"Dividendo",N(D9)&lt;=0),"Quote?",IF(AND(B9="Vendita",N(D9)&gt;N(Q9)+0.000001),"Quote?",IF(J9&lt;=0,"Importo?","✓"))))))</f>
        <v>✓</v>
      </c>
      <c r="N9" t="str">
        <f>IF(OR(B9="Acquisto",B9="Vendita"),COUNTIFS($C$5:C9,C9,$B$5:B9,"Acquisto")+COUNTIFS($C$5:C9,C9,$B$5:B9,"Vendita"),"")</f>
        <v/>
      </c>
      <c r="O9" t="str">
        <f>IF(N9="","",C9&amp;"|"&amp;N9)</f>
        <v/>
      </c>
      <c r="P9" t="str">
        <f>IF(N9="","",IF(N9=1,0,MATCH(C9&amp;"|"&amp;(N9-1),$O$5:$O$1004,0)))</f>
        <v/>
      </c>
      <c r="Q9" t="str">
        <f>IF(N9="","",IF(P9=0,SUMIFS(Calcoli!$C$7:$C$21,Calcoli!$A$7:$A$21,C9),INDEX($S$5:$S$1004,P9)))</f>
        <v/>
      </c>
      <c r="R9" t="str">
        <f>IF(N9="","",IF(P9=0,SUMIFS(Calcoli!$D$7:$D$21,Calcoli!$A$7:$A$21,C9),INDEX($T$5:$T$1004,P9)))</f>
        <v/>
      </c>
      <c r="S9" t="str">
        <f>IF(N9="","",IF(B9="Acquisto",Q9+N(D9),MAX(0,Q9-N(D9))))</f>
        <v/>
      </c>
      <c r="T9" t="str">
        <f>IF(N9="","",IF(B9="Acquisto",R9+J9+N(G9),IF(Q9&lt;=0,0,R9*(1-MIN(1,N(D9)/Q9)))))</f>
        <v/>
      </c>
      <c r="U9" t="str">
        <f>IF(B9&lt;&gt;"Vendita","",J9-N(G9)-IF(Q9&lt;=0,0,R9*MIN(1,N(D9)/Q9)))</f>
        <v/>
      </c>
      <c r="V9">
        <f>IF(B9&lt;&gt;"Dividendo","",IF(Calcoli!$B$251=1,J9,L9))</f>
        <v>16.27</v>
      </c>
      <c r="W9">
        <f>IF(AND(V9&lt;&gt;"",ISNUMBER(A9)),A9,"")</f>
        <v>45646.0</v>
      </c>
    </row>
    <row r="10">
      <c r="A10" s="134" t="n">
        <v>45651</v>
      </c>
      <c r="B10" s="116" t="inlineStr">
        <is>
          <t>Dividendo</t>
        </is>
      </c>
      <c r="C10" s="116" t="inlineStr">
        <is>
          <t>Azionario Emergenti</t>
        </is>
      </c>
      <c r="D10" s="121" t="n">
        <v>9</v>
      </c>
      <c r="E10" s="120" t="n"/>
      <c r="F10" s="120" t="n">
        <v>2.16</v>
      </c>
      <c r="G10" s="120" t="n"/>
      <c r="H10" s="120" t="n"/>
      <c r="I10" s="117" t="inlineStr">
        <is>
          <t>Dividendo trimestrale</t>
        </is>
      </c>
      <c r="J10" s="123">
        <f>IF(B10="","",IF(F10&lt;&gt;"",N(F10),ROUND(N(D10)*N(E10),2)))</f>
        <v>2.16</v>
      </c>
      <c r="K10" s="123">
        <f>IF(B10="","",IF(H10&lt;&gt;"",N(H10),IF(B10="Dividendo",ROUND(J10*IFERROR(INDEX(Calcoli!$V$7:$V$21,MATCH(C10,Calcoli!$A$7:$A$21,0)),0.26),2),IF(B10="Vendita",ROUND(MAX(0,U10)*IFERROR(INDEX(Calcoli!$V$7:$V$21,MATCH(C10,Calcoli!$A$7:$A$21,0)),0.26),2),0))))</f>
        <v>0.56</v>
      </c>
      <c r="L10" s="135">
        <f>IF(B10="","",IF(B10="Acquisto",-(J10+N(G10)),J10-N(G10)-K10))</f>
        <v>1.6</v>
      </c>
      <c r="M10" s="127" t="str">
        <f>IF(B10="","",IF(ISNA(MATCH(C10,ETF!$A$7:$A$21,0)),"ETF?",IF(NOT(ISNUMBER(A10)),"Data?",IF(AND(B10&lt;&gt;"Dividendo",N(D10)&lt;=0),"Quote?",IF(AND(B10="Vendita",N(D10)&gt;N(Q10)+0.000001),"Quote?",IF(J10&lt;=0,"Importo?","✓"))))))</f>
        <v>✓</v>
      </c>
      <c r="N10" t="str">
        <f>IF(OR(B10="Acquisto",B10="Vendita"),COUNTIFS($C$5:C10,C10,$B$5:B10,"Acquisto")+COUNTIFS($C$5:C10,C10,$B$5:B10,"Vendita"),"")</f>
        <v/>
      </c>
      <c r="O10" t="str">
        <f>IF(N10="","",C10&amp;"|"&amp;N10)</f>
        <v/>
      </c>
      <c r="P10" t="str">
        <f>IF(N10="","",IF(N10=1,0,MATCH(C10&amp;"|"&amp;(N10-1),$O$5:$O$1004,0)))</f>
        <v/>
      </c>
      <c r="Q10" t="str">
        <f>IF(N10="","",IF(P10=0,SUMIFS(Calcoli!$C$7:$C$21,Calcoli!$A$7:$A$21,C10),INDEX($S$5:$S$1004,P10)))</f>
        <v/>
      </c>
      <c r="R10" t="str">
        <f>IF(N10="","",IF(P10=0,SUMIFS(Calcoli!$D$7:$D$21,Calcoli!$A$7:$A$21,C10),INDEX($T$5:$T$1004,P10)))</f>
        <v/>
      </c>
      <c r="S10" t="str">
        <f>IF(N10="","",IF(B10="Acquisto",Q10+N(D10),MAX(0,Q10-N(D10))))</f>
        <v/>
      </c>
      <c r="T10" t="str">
        <f>IF(N10="","",IF(B10="Acquisto",R10+J10+N(G10),IF(Q10&lt;=0,0,R10*(1-MIN(1,N(D10)/Q10)))))</f>
        <v/>
      </c>
      <c r="U10" t="str">
        <f>IF(B10&lt;&gt;"Vendita","",J10-N(G10)-IF(Q10&lt;=0,0,R10*MIN(1,N(D10)/Q10)))</f>
        <v/>
      </c>
      <c r="V10">
        <f>IF(B10&lt;&gt;"Dividendo","",IF(Calcoli!$B$251=1,J10,L10))</f>
        <v>1.6</v>
      </c>
      <c r="W10">
        <f>IF(AND(V10&lt;&gt;"",ISNUMBER(A10)),A10,"")</f>
        <v>45651.0</v>
      </c>
    </row>
    <row r="11">
      <c r="A11" s="134" t="n">
        <v>45662</v>
      </c>
      <c r="B11" s="116" t="inlineStr">
        <is>
          <t>Acquisto</t>
        </is>
      </c>
      <c r="C11" s="116" t="inlineStr">
        <is>
          <t>Azionario Emergenti</t>
        </is>
      </c>
      <c r="D11" s="121" t="n">
        <v>4</v>
      </c>
      <c r="E11" s="120" t="n">
        <v>44.99</v>
      </c>
      <c r="F11" s="120" t="n"/>
      <c r="G11" s="120" t="n">
        <v>1</v>
      </c>
      <c r="H11" s="120" t="n"/>
      <c r="I11" s="117" t="inlineStr">
        <is>
          <t>PAC mensile</t>
        </is>
      </c>
      <c r="J11" s="123">
        <f>IF(B11="","",IF(F11&lt;&gt;"",N(F11),ROUND(N(D11)*N(E11),2)))</f>
        <v>179.96</v>
      </c>
      <c r="K11" s="123">
        <f>IF(B11="","",IF(H11&lt;&gt;"",N(H11),IF(B11="Dividendo",ROUND(J11*IFERROR(INDEX(Calcoli!$V$7:$V$21,MATCH(C11,Calcoli!$A$7:$A$21,0)),0.26),2),IF(B11="Vendita",ROUND(MAX(0,U11)*IFERROR(INDEX(Calcoli!$V$7:$V$21,MATCH(C11,Calcoli!$A$7:$A$21,0)),0.26),2),0))))</f>
        <v>0</v>
      </c>
      <c r="L11" s="135">
        <f>IF(B11="","",IF(B11="Acquisto",-(J11+N(G11)),J11-N(G11)-K11))</f>
        <v>-180.96</v>
      </c>
      <c r="M11" s="127" t="str">
        <f>IF(B11="","",IF(ISNA(MATCH(C11,ETF!$A$7:$A$21,0)),"ETF?",IF(NOT(ISNUMBER(A11)),"Data?",IF(AND(B11&lt;&gt;"Dividendo",N(D11)&lt;=0),"Quote?",IF(AND(B11="Vendita",N(D11)&gt;N(Q11)+0.000001),"Quote?",IF(J11&lt;=0,"Importo?","✓"))))))</f>
        <v>✓</v>
      </c>
      <c r="N11">
        <f>IF(OR(B11="Acquisto",B11="Vendita"),COUNTIFS($C$5:C11,C11,$B$5:B11,"Acquisto")+COUNTIFS($C$5:C11,C11,$B$5:B11,"Vendita"),"")</f>
        <v>3</v>
      </c>
      <c r="O11" t="str">
        <f>IF(N11="","",C11&amp;"|"&amp;N11)</f>
        <v>Azionario Emergenti|3</v>
      </c>
      <c r="P11">
        <f>IF(N11="","",IF(N11=1,0,MATCH(C11&amp;"|"&amp;(N11-1),$O$5:$O$1004,0)))</f>
        <v>3</v>
      </c>
      <c r="Q11">
        <f>IF(N11="","",IF(P11=0,SUMIFS(Calcoli!$C$7:$C$21,Calcoli!$A$7:$A$21,C11),INDEX($S$5:$S$1004,P11)))</f>
        <v>9</v>
      </c>
      <c r="R11">
        <f>IF(N11="","",IF(P11=0,SUMIFS(Calcoli!$D$7:$D$21,Calcoli!$A$7:$A$21,C11),INDEX($T$5:$T$1004,P11)))</f>
        <v>383.09</v>
      </c>
      <c r="S11">
        <f>IF(N11="","",IF(B11="Acquisto",Q11+N(D11),MAX(0,Q11-N(D11))))</f>
        <v>13</v>
      </c>
      <c r="T11">
        <f>IF(N11="","",IF(B11="Acquisto",R11+J11+N(G11),IF(Q11&lt;=0,0,R11*(1-MIN(1,N(D11)/Q11)))))</f>
        <v>564.05</v>
      </c>
      <c r="U11" t="str">
        <f>IF(B11&lt;&gt;"Vendita","",J11-N(G11)-IF(Q11&lt;=0,0,R11*MIN(1,N(D11)/Q11)))</f>
        <v/>
      </c>
      <c r="V11" t="str">
        <f>IF(B11&lt;&gt;"Dividendo","",IF(Calcoli!$B$251=1,J11,L11))</f>
        <v/>
      </c>
      <c r="W11" t="str">
        <f>IF(AND(V11&lt;&gt;"",ISNUMBER(A11)),A11,"")</f>
        <v/>
      </c>
    </row>
    <row r="12">
      <c r="A12" s="134" t="n">
        <v>45662</v>
      </c>
      <c r="B12" s="116" t="inlineStr">
        <is>
          <t>Acquisto</t>
        </is>
      </c>
      <c r="C12" s="116" t="inlineStr">
        <is>
          <t>Oro</t>
        </is>
      </c>
      <c r="D12" s="121" t="n">
        <v>3</v>
      </c>
      <c r="E12" s="120" t="n">
        <v>58.62</v>
      </c>
      <c r="F12" s="120" t="n"/>
      <c r="G12" s="120" t="n">
        <v>1</v>
      </c>
      <c r="H12" s="120" t="n"/>
      <c r="I12" s="117" t="inlineStr">
        <is>
          <t>PAC mensile</t>
        </is>
      </c>
      <c r="J12" s="123">
        <f>IF(B12="","",IF(F12&lt;&gt;"",N(F12),ROUND(N(D12)*N(E12),2)))</f>
        <v>175.86</v>
      </c>
      <c r="K12" s="123">
        <f>IF(B12="","",IF(H12&lt;&gt;"",N(H12),IF(B12="Dividendo",ROUND(J12*IFERROR(INDEX(Calcoli!$V$7:$V$21,MATCH(C12,Calcoli!$A$7:$A$21,0)),0.26),2),IF(B12="Vendita",ROUND(MAX(0,U12)*IFERROR(INDEX(Calcoli!$V$7:$V$21,MATCH(C12,Calcoli!$A$7:$A$21,0)),0.26),2),0))))</f>
        <v>0</v>
      </c>
      <c r="L12" s="135">
        <f>IF(B12="","",IF(B12="Acquisto",-(J12+N(G12)),J12-N(G12)-K12))</f>
        <v>-176.86</v>
      </c>
      <c r="M12" s="127" t="str">
        <f>IF(B12="","",IF(ISNA(MATCH(C12,ETF!$A$7:$A$21,0)),"ETF?",IF(NOT(ISNUMBER(A12)),"Data?",IF(AND(B12&lt;&gt;"Dividendo",N(D12)&lt;=0),"Quote?",IF(AND(B12="Vendita",N(D12)&gt;N(Q12)+0.000001),"Quote?",IF(J12&lt;=0,"Importo?","✓"))))))</f>
        <v>✓</v>
      </c>
      <c r="N12">
        <f>IF(OR(B12="Acquisto",B12="Vendita"),COUNTIFS($C$5:C12,C12,$B$5:B12,"Acquisto")+COUNTIFS($C$5:C12,C12,$B$5:B12,"Vendita"),"")</f>
        <v>3</v>
      </c>
      <c r="O12" t="str">
        <f>IF(N12="","",C12&amp;"|"&amp;N12)</f>
        <v>Oro|3</v>
      </c>
      <c r="P12">
        <f>IF(N12="","",IF(N12=1,0,MATCH(C12&amp;"|"&amp;(N12-1),$O$5:$O$1004,0)))</f>
        <v>4</v>
      </c>
      <c r="Q12">
        <f>IF(N12="","",IF(P12=0,SUMIFS(Calcoli!$C$7:$C$21,Calcoli!$A$7:$A$21,C12),INDEX($S$5:$S$1004,P12)))</f>
        <v>7</v>
      </c>
      <c r="R12">
        <f>IF(N12="","",IF(P12=0,SUMIFS(Calcoli!$D$7:$D$21,Calcoli!$A$7:$A$21,C12),INDEX($T$5:$T$1004,P12)))</f>
        <v>384.96</v>
      </c>
      <c r="S12">
        <f>IF(N12="","",IF(B12="Acquisto",Q12+N(D12),MAX(0,Q12-N(D12))))</f>
        <v>10</v>
      </c>
      <c r="T12">
        <f>IF(N12="","",IF(B12="Acquisto",R12+J12+N(G12),IF(Q12&lt;=0,0,R12*(1-MIN(1,N(D12)/Q12)))))</f>
        <v>561.82</v>
      </c>
      <c r="U12" t="str">
        <f>IF(B12&lt;&gt;"Vendita","",J12-N(G12)-IF(Q12&lt;=0,0,R12*MIN(1,N(D12)/Q12)))</f>
        <v/>
      </c>
      <c r="V12" t="str">
        <f>IF(B12&lt;&gt;"Dividendo","",IF(Calcoli!$B$251=1,J12,L12))</f>
        <v/>
      </c>
      <c r="W12" t="str">
        <f>IF(AND(V12&lt;&gt;"",ISNUMBER(A12)),A12,"")</f>
        <v/>
      </c>
    </row>
    <row r="13">
      <c r="A13" s="134" t="n">
        <v>45693</v>
      </c>
      <c r="B13" s="116" t="inlineStr">
        <is>
          <t>Acquisto</t>
        </is>
      </c>
      <c r="C13" s="116" t="inlineStr">
        <is>
          <t>Azionario Mondo</t>
        </is>
      </c>
      <c r="D13" s="121" t="n">
        <v>2</v>
      </c>
      <c r="E13" s="120" t="n">
        <v>93.83</v>
      </c>
      <c r="F13" s="120" t="n"/>
      <c r="G13" s="120" t="n">
        <v>1</v>
      </c>
      <c r="H13" s="120" t="n"/>
      <c r="I13" s="117" t="inlineStr">
        <is>
          <t>PAC mensile</t>
        </is>
      </c>
      <c r="J13" s="123">
        <f>IF(B13="","",IF(F13&lt;&gt;"",N(F13),ROUND(N(D13)*N(E13),2)))</f>
        <v>187.66</v>
      </c>
      <c r="K13" s="123">
        <f>IF(B13="","",IF(H13&lt;&gt;"",N(H13),IF(B13="Dividendo",ROUND(J13*IFERROR(INDEX(Calcoli!$V$7:$V$21,MATCH(C13,Calcoli!$A$7:$A$21,0)),0.26),2),IF(B13="Vendita",ROUND(MAX(0,U13)*IFERROR(INDEX(Calcoli!$V$7:$V$21,MATCH(C13,Calcoli!$A$7:$A$21,0)),0.26),2),0))))</f>
        <v>0</v>
      </c>
      <c r="L13" s="135">
        <f>IF(B13="","",IF(B13="Acquisto",-(J13+N(G13)),J13-N(G13)-K13))</f>
        <v>-188.66</v>
      </c>
      <c r="M13" s="127" t="str">
        <f>IF(B13="","",IF(ISNA(MATCH(C13,ETF!$A$7:$A$21,0)),"ETF?",IF(NOT(ISNUMBER(A13)),"Data?",IF(AND(B13&lt;&gt;"Dividendo",N(D13)&lt;=0),"Quote?",IF(AND(B13="Vendita",N(D13)&gt;N(Q13)+0.000001),"Quote?",IF(J13&lt;=0,"Importo?","✓"))))))</f>
        <v>✓</v>
      </c>
      <c r="N13">
        <f>IF(OR(B13="Acquisto",B13="Vendita"),COUNTIFS($C$5:C13,C13,$B$5:B13,"Acquisto")+COUNTIFS($C$5:C13,C13,$B$5:B13,"Vendita"),"")</f>
        <v>1</v>
      </c>
      <c r="O13" t="str">
        <f>IF(N13="","",C13&amp;"|"&amp;N13)</f>
        <v>Azionario Mondo|1</v>
      </c>
      <c r="P13">
        <f>IF(N13="","",IF(N13=1,0,MATCH(C13&amp;"|"&amp;(N13-1),$O$5:$O$1004,0)))</f>
        <v>0</v>
      </c>
      <c r="Q13">
        <f>IF(N13="","",IF(P13=0,SUMIFS(Calcoli!$C$7:$C$21,Calcoli!$A$7:$A$21,C13),INDEX($S$5:$S$1004,P13)))</f>
        <v>40</v>
      </c>
      <c r="R13">
        <f>IF(N13="","",IF(P13=0,SUMIFS(Calcoli!$D$7:$D$21,Calcoli!$A$7:$A$21,C13),INDEX($T$5:$T$1004,P13)))</f>
        <v>3536</v>
      </c>
      <c r="S13">
        <f>IF(N13="","",IF(B13="Acquisto",Q13+N(D13),MAX(0,Q13-N(D13))))</f>
        <v>42</v>
      </c>
      <c r="T13">
        <f>IF(N13="","",IF(B13="Acquisto",R13+J13+N(G13),IF(Q13&lt;=0,0,R13*(1-MIN(1,N(D13)/Q13)))))</f>
        <v>3724.66</v>
      </c>
      <c r="U13" t="str">
        <f>IF(B13&lt;&gt;"Vendita","",J13-N(G13)-IF(Q13&lt;=0,0,R13*MIN(1,N(D13)/Q13)))</f>
        <v/>
      </c>
      <c r="V13" t="str">
        <f>IF(B13&lt;&gt;"Dividendo","",IF(Calcoli!$B$251=1,J13,L13))</f>
        <v/>
      </c>
      <c r="W13" t="str">
        <f>IF(AND(V13&lt;&gt;"",ISNUMBER(A13)),A13,"")</f>
        <v/>
      </c>
    </row>
    <row r="14">
      <c r="A14" s="134" t="n">
        <v>45693</v>
      </c>
      <c r="B14" s="116" t="inlineStr">
        <is>
          <t>Acquisto</t>
        </is>
      </c>
      <c r="C14" s="116" t="inlineStr">
        <is>
          <t>Azionario Emergenti</t>
        </is>
      </c>
      <c r="D14" s="121" t="n">
        <v>3</v>
      </c>
      <c r="E14" s="120" t="n">
        <v>45.54</v>
      </c>
      <c r="F14" s="120" t="n"/>
      <c r="G14" s="120" t="n">
        <v>1</v>
      </c>
      <c r="H14" s="120" t="n"/>
      <c r="I14" s="117" t="inlineStr">
        <is>
          <t>PAC mensile</t>
        </is>
      </c>
      <c r="J14" s="123">
        <f>IF(B14="","",IF(F14&lt;&gt;"",N(F14),ROUND(N(D14)*N(E14),2)))</f>
        <v>136.62</v>
      </c>
      <c r="K14" s="123">
        <f>IF(B14="","",IF(H14&lt;&gt;"",N(H14),IF(B14="Dividendo",ROUND(J14*IFERROR(INDEX(Calcoli!$V$7:$V$21,MATCH(C14,Calcoli!$A$7:$A$21,0)),0.26),2),IF(B14="Vendita",ROUND(MAX(0,U14)*IFERROR(INDEX(Calcoli!$V$7:$V$21,MATCH(C14,Calcoli!$A$7:$A$21,0)),0.26),2),0))))</f>
        <v>0</v>
      </c>
      <c r="L14" s="135">
        <f>IF(B14="","",IF(B14="Acquisto",-(J14+N(G14)),J14-N(G14)-K14))</f>
        <v>-137.62</v>
      </c>
      <c r="M14" s="127" t="str">
        <f>IF(B14="","",IF(ISNA(MATCH(C14,ETF!$A$7:$A$21,0)),"ETF?",IF(NOT(ISNUMBER(A14)),"Data?",IF(AND(B14&lt;&gt;"Dividendo",N(D14)&lt;=0),"Quote?",IF(AND(B14="Vendita",N(D14)&gt;N(Q14)+0.000001),"Quote?",IF(J14&lt;=0,"Importo?","✓"))))))</f>
        <v>✓</v>
      </c>
      <c r="N14">
        <f>IF(OR(B14="Acquisto",B14="Vendita"),COUNTIFS($C$5:C14,C14,$B$5:B14,"Acquisto")+COUNTIFS($C$5:C14,C14,$B$5:B14,"Vendita"),"")</f>
        <v>4</v>
      </c>
      <c r="O14" t="str">
        <f>IF(N14="","",C14&amp;"|"&amp;N14)</f>
        <v>Azionario Emergenti|4</v>
      </c>
      <c r="P14">
        <f>IF(N14="","",IF(N14=1,0,MATCH(C14&amp;"|"&amp;(N14-1),$O$5:$O$1004,0)))</f>
        <v>7</v>
      </c>
      <c r="Q14">
        <f>IF(N14="","",IF(P14=0,SUMIFS(Calcoli!$C$7:$C$21,Calcoli!$A$7:$A$21,C14),INDEX($S$5:$S$1004,P14)))</f>
        <v>13</v>
      </c>
      <c r="R14">
        <f>IF(N14="","",IF(P14=0,SUMIFS(Calcoli!$D$7:$D$21,Calcoli!$A$7:$A$21,C14),INDEX($T$5:$T$1004,P14)))</f>
        <v>564.05</v>
      </c>
      <c r="S14">
        <f>IF(N14="","",IF(B14="Acquisto",Q14+N(D14),MAX(0,Q14-N(D14))))</f>
        <v>16</v>
      </c>
      <c r="T14">
        <f>IF(N14="","",IF(B14="Acquisto",R14+J14+N(G14),IF(Q14&lt;=0,0,R14*(1-MIN(1,N(D14)/Q14)))))</f>
        <v>701.67</v>
      </c>
      <c r="U14" t="str">
        <f>IF(B14&lt;&gt;"Vendita","",J14-N(G14)-IF(Q14&lt;=0,0,R14*MIN(1,N(D14)/Q14)))</f>
        <v/>
      </c>
      <c r="V14" t="str">
        <f>IF(B14&lt;&gt;"Dividendo","",IF(Calcoli!$B$251=1,J14,L14))</f>
        <v/>
      </c>
      <c r="W14" t="str">
        <f>IF(AND(V14&lt;&gt;"",ISNUMBER(A14)),A14,"")</f>
        <v/>
      </c>
    </row>
    <row r="15">
      <c r="A15" s="134" t="n">
        <v>45693</v>
      </c>
      <c r="B15" s="116" t="inlineStr">
        <is>
          <t>Acquisto</t>
        </is>
      </c>
      <c r="C15" s="116" t="inlineStr">
        <is>
          <t>Oro</t>
        </is>
      </c>
      <c r="D15" s="121" t="n">
        <v>1</v>
      </c>
      <c r="E15" s="120" t="n">
        <v>61.05</v>
      </c>
      <c r="F15" s="120" t="n"/>
      <c r="G15" s="120" t="n">
        <v>1</v>
      </c>
      <c r="H15" s="120" t="n"/>
      <c r="I15" s="117" t="inlineStr">
        <is>
          <t>PAC mensile</t>
        </is>
      </c>
      <c r="J15" s="123">
        <f>IF(B15="","",IF(F15&lt;&gt;"",N(F15),ROUND(N(D15)*N(E15),2)))</f>
        <v>61.05</v>
      </c>
      <c r="K15" s="123">
        <f>IF(B15="","",IF(H15&lt;&gt;"",N(H15),IF(B15="Dividendo",ROUND(J15*IFERROR(INDEX(Calcoli!$V$7:$V$21,MATCH(C15,Calcoli!$A$7:$A$21,0)),0.26),2),IF(B15="Vendita",ROUND(MAX(0,U15)*IFERROR(INDEX(Calcoli!$V$7:$V$21,MATCH(C15,Calcoli!$A$7:$A$21,0)),0.26),2),0))))</f>
        <v>0</v>
      </c>
      <c r="L15" s="135">
        <f>IF(B15="","",IF(B15="Acquisto",-(J15+N(G15)),J15-N(G15)-K15))</f>
        <v>-62.05</v>
      </c>
      <c r="M15" s="127" t="str">
        <f>IF(B15="","",IF(ISNA(MATCH(C15,ETF!$A$7:$A$21,0)),"ETF?",IF(NOT(ISNUMBER(A15)),"Data?",IF(AND(B15&lt;&gt;"Dividendo",N(D15)&lt;=0),"Quote?",IF(AND(B15="Vendita",N(D15)&gt;N(Q15)+0.000001),"Quote?",IF(J15&lt;=0,"Importo?","✓"))))))</f>
        <v>✓</v>
      </c>
      <c r="N15">
        <f>IF(OR(B15="Acquisto",B15="Vendita"),COUNTIFS($C$5:C15,C15,$B$5:B15,"Acquisto")+COUNTIFS($C$5:C15,C15,$B$5:B15,"Vendita"),"")</f>
        <v>4</v>
      </c>
      <c r="O15" t="str">
        <f>IF(N15="","",C15&amp;"|"&amp;N15)</f>
        <v>Oro|4</v>
      </c>
      <c r="P15">
        <f>IF(N15="","",IF(N15=1,0,MATCH(C15&amp;"|"&amp;(N15-1),$O$5:$O$1004,0)))</f>
        <v>8</v>
      </c>
      <c r="Q15">
        <f>IF(N15="","",IF(P15=0,SUMIFS(Calcoli!$C$7:$C$21,Calcoli!$A$7:$A$21,C15),INDEX($S$5:$S$1004,P15)))</f>
        <v>10</v>
      </c>
      <c r="R15">
        <f>IF(N15="","",IF(P15=0,SUMIFS(Calcoli!$D$7:$D$21,Calcoli!$A$7:$A$21,C15),INDEX($T$5:$T$1004,P15)))</f>
        <v>561.82</v>
      </c>
      <c r="S15">
        <f>IF(N15="","",IF(B15="Acquisto",Q15+N(D15),MAX(0,Q15-N(D15))))</f>
        <v>11</v>
      </c>
      <c r="T15">
        <f>IF(N15="","",IF(B15="Acquisto",R15+J15+N(G15),IF(Q15&lt;=0,0,R15*(1-MIN(1,N(D15)/Q15)))))</f>
        <v>623.87</v>
      </c>
      <c r="U15" t="str">
        <f>IF(B15&lt;&gt;"Vendita","",J15-N(G15)-IF(Q15&lt;=0,0,R15*MIN(1,N(D15)/Q15)))</f>
        <v/>
      </c>
      <c r="V15" t="str">
        <f>IF(B15&lt;&gt;"Dividendo","",IF(Calcoli!$B$251=1,J15,L15))</f>
        <v/>
      </c>
      <c r="W15" t="str">
        <f>IF(AND(V15&lt;&gt;"",ISNUMBER(A15)),A15,"")</f>
        <v/>
      </c>
    </row>
    <row r="16">
      <c r="A16" s="134" t="n">
        <v>45721</v>
      </c>
      <c r="B16" s="116" t="inlineStr">
        <is>
          <t>Acquisto</t>
        </is>
      </c>
      <c r="C16" s="116" t="inlineStr">
        <is>
          <t>Azionario Mondo</t>
        </is>
      </c>
      <c r="D16" s="121" t="n">
        <v>3</v>
      </c>
      <c r="E16" s="120" t="n">
        <v>90.84</v>
      </c>
      <c r="F16" s="120" t="n"/>
      <c r="G16" s="120" t="n">
        <v>1</v>
      </c>
      <c r="H16" s="120" t="n"/>
      <c r="I16" s="117" t="inlineStr">
        <is>
          <t>PAC mensile</t>
        </is>
      </c>
      <c r="J16" s="123">
        <f>IF(B16="","",IF(F16&lt;&gt;"",N(F16),ROUND(N(D16)*N(E16),2)))</f>
        <v>272.52</v>
      </c>
      <c r="K16" s="123">
        <f>IF(B16="","",IF(H16&lt;&gt;"",N(H16),IF(B16="Dividendo",ROUND(J16*IFERROR(INDEX(Calcoli!$V$7:$V$21,MATCH(C16,Calcoli!$A$7:$A$21,0)),0.26),2),IF(B16="Vendita",ROUND(MAX(0,U16)*IFERROR(INDEX(Calcoli!$V$7:$V$21,MATCH(C16,Calcoli!$A$7:$A$21,0)),0.26),2),0))))</f>
        <v>0</v>
      </c>
      <c r="L16" s="135">
        <f>IF(B16="","",IF(B16="Acquisto",-(J16+N(G16)),J16-N(G16)-K16))</f>
        <v>-273.52</v>
      </c>
      <c r="M16" s="127" t="str">
        <f>IF(B16="","",IF(ISNA(MATCH(C16,ETF!$A$7:$A$21,0)),"ETF?",IF(NOT(ISNUMBER(A16)),"Data?",IF(AND(B16&lt;&gt;"Dividendo",N(D16)&lt;=0),"Quote?",IF(AND(B16="Vendita",N(D16)&gt;N(Q16)+0.000001),"Quote?",IF(J16&lt;=0,"Importo?","✓"))))))</f>
        <v>✓</v>
      </c>
      <c r="N16">
        <f>IF(OR(B16="Acquisto",B16="Vendita"),COUNTIFS($C$5:C16,C16,$B$5:B16,"Acquisto")+COUNTIFS($C$5:C16,C16,$B$5:B16,"Vendita"),"")</f>
        <v>2</v>
      </c>
      <c r="O16" t="str">
        <f>IF(N16="","",C16&amp;"|"&amp;N16)</f>
        <v>Azionario Mondo|2</v>
      </c>
      <c r="P16">
        <f>IF(N16="","",IF(N16=1,0,MATCH(C16&amp;"|"&amp;(N16-1),$O$5:$O$1004,0)))</f>
        <v>9</v>
      </c>
      <c r="Q16">
        <f>IF(N16="","",IF(P16=0,SUMIFS(Calcoli!$C$7:$C$21,Calcoli!$A$7:$A$21,C16),INDEX($S$5:$S$1004,P16)))</f>
        <v>42</v>
      </c>
      <c r="R16">
        <f>IF(N16="","",IF(P16=0,SUMIFS(Calcoli!$D$7:$D$21,Calcoli!$A$7:$A$21,C16),INDEX($T$5:$T$1004,P16)))</f>
        <v>3724.66</v>
      </c>
      <c r="S16">
        <f>IF(N16="","",IF(B16="Acquisto",Q16+N(D16),MAX(0,Q16-N(D16))))</f>
        <v>45</v>
      </c>
      <c r="T16">
        <f>IF(N16="","",IF(B16="Acquisto",R16+J16+N(G16),IF(Q16&lt;=0,0,R16*(1-MIN(1,N(D16)/Q16)))))</f>
        <v>3998.18</v>
      </c>
      <c r="U16" t="str">
        <f>IF(B16&lt;&gt;"Vendita","",J16-N(G16)-IF(Q16&lt;=0,0,R16*MIN(1,N(D16)/Q16)))</f>
        <v/>
      </c>
      <c r="V16" t="str">
        <f>IF(B16&lt;&gt;"Dividendo","",IF(Calcoli!$B$251=1,J16,L16))</f>
        <v/>
      </c>
      <c r="W16" t="str">
        <f>IF(AND(V16&lt;&gt;"",ISNUMBER(A16)),A16,"")</f>
        <v/>
      </c>
    </row>
    <row r="17">
      <c r="A17" s="134" t="n">
        <v>45721</v>
      </c>
      <c r="B17" s="116" t="inlineStr">
        <is>
          <t>Acquisto</t>
        </is>
      </c>
      <c r="C17" s="116" t="inlineStr">
        <is>
          <t>Azionario Emergenti</t>
        </is>
      </c>
      <c r="D17" s="121" t="n">
        <v>1</v>
      </c>
      <c r="E17" s="120" t="n">
        <v>42.47</v>
      </c>
      <c r="F17" s="120" t="n"/>
      <c r="G17" s="120" t="n">
        <v>1</v>
      </c>
      <c r="H17" s="120" t="n"/>
      <c r="I17" s="117" t="inlineStr">
        <is>
          <t>PAC mensile</t>
        </is>
      </c>
      <c r="J17" s="123">
        <f>IF(B17="","",IF(F17&lt;&gt;"",N(F17),ROUND(N(D17)*N(E17),2)))</f>
        <v>42.47</v>
      </c>
      <c r="K17" s="123">
        <f>IF(B17="","",IF(H17&lt;&gt;"",N(H17),IF(B17="Dividendo",ROUND(J17*IFERROR(INDEX(Calcoli!$V$7:$V$21,MATCH(C17,Calcoli!$A$7:$A$21,0)),0.26),2),IF(B17="Vendita",ROUND(MAX(0,U17)*IFERROR(INDEX(Calcoli!$V$7:$V$21,MATCH(C17,Calcoli!$A$7:$A$21,0)),0.26),2),0))))</f>
        <v>0</v>
      </c>
      <c r="L17" s="135">
        <f>IF(B17="","",IF(B17="Acquisto",-(J17+N(G17)),J17-N(G17)-K17))</f>
        <v>-43.47</v>
      </c>
      <c r="M17" s="127" t="str">
        <f>IF(B17="","",IF(ISNA(MATCH(C17,ETF!$A$7:$A$21,0)),"ETF?",IF(NOT(ISNUMBER(A17)),"Data?",IF(AND(B17&lt;&gt;"Dividendo",N(D17)&lt;=0),"Quote?",IF(AND(B17="Vendita",N(D17)&gt;N(Q17)+0.000001),"Quote?",IF(J17&lt;=0,"Importo?","✓"))))))</f>
        <v>✓</v>
      </c>
      <c r="N17">
        <f>IF(OR(B17="Acquisto",B17="Vendita"),COUNTIFS($C$5:C17,C17,$B$5:B17,"Acquisto")+COUNTIFS($C$5:C17,C17,$B$5:B17,"Vendita"),"")</f>
        <v>5</v>
      </c>
      <c r="O17" t="str">
        <f>IF(N17="","",C17&amp;"|"&amp;N17)</f>
        <v>Azionario Emergenti|5</v>
      </c>
      <c r="P17">
        <f>IF(N17="","",IF(N17=1,0,MATCH(C17&amp;"|"&amp;(N17-1),$O$5:$O$1004,0)))</f>
        <v>10</v>
      </c>
      <c r="Q17">
        <f>IF(N17="","",IF(P17=0,SUMIFS(Calcoli!$C$7:$C$21,Calcoli!$A$7:$A$21,C17),INDEX($S$5:$S$1004,P17)))</f>
        <v>16</v>
      </c>
      <c r="R17">
        <f>IF(N17="","",IF(P17=0,SUMIFS(Calcoli!$D$7:$D$21,Calcoli!$A$7:$A$21,C17),INDEX($T$5:$T$1004,P17)))</f>
        <v>701.67</v>
      </c>
      <c r="S17">
        <f>IF(N17="","",IF(B17="Acquisto",Q17+N(D17),MAX(0,Q17-N(D17))))</f>
        <v>17</v>
      </c>
      <c r="T17">
        <f>IF(N17="","",IF(B17="Acquisto",R17+J17+N(G17),IF(Q17&lt;=0,0,R17*(1-MIN(1,N(D17)/Q17)))))</f>
        <v>745.14</v>
      </c>
      <c r="U17" t="str">
        <f>IF(B17&lt;&gt;"Vendita","",J17-N(G17)-IF(Q17&lt;=0,0,R17*MIN(1,N(D17)/Q17)))</f>
        <v/>
      </c>
      <c r="V17" t="str">
        <f>IF(B17&lt;&gt;"Dividendo","",IF(Calcoli!$B$251=1,J17,L17))</f>
        <v/>
      </c>
      <c r="W17" t="str">
        <f>IF(AND(V17&lt;&gt;"",ISNUMBER(A17)),A17,"")</f>
        <v/>
      </c>
    </row>
    <row r="18">
      <c r="A18" s="134" t="n">
        <v>45721</v>
      </c>
      <c r="B18" s="116" t="inlineStr">
        <is>
          <t>Acquisto</t>
        </is>
      </c>
      <c r="C18" s="116" t="inlineStr">
        <is>
          <t>Oro</t>
        </is>
      </c>
      <c r="D18" s="121" t="n">
        <v>1</v>
      </c>
      <c r="E18" s="120" t="n">
        <v>63.09</v>
      </c>
      <c r="F18" s="120" t="n"/>
      <c r="G18" s="120" t="n">
        <v>1</v>
      </c>
      <c r="H18" s="120" t="n"/>
      <c r="I18" s="117" t="inlineStr">
        <is>
          <t>PAC mensile</t>
        </is>
      </c>
      <c r="J18" s="123">
        <f>IF(B18="","",IF(F18&lt;&gt;"",N(F18),ROUND(N(D18)*N(E18),2)))</f>
        <v>63.09</v>
      </c>
      <c r="K18" s="123">
        <f>IF(B18="","",IF(H18&lt;&gt;"",N(H18),IF(B18="Dividendo",ROUND(J18*IFERROR(INDEX(Calcoli!$V$7:$V$21,MATCH(C18,Calcoli!$A$7:$A$21,0)),0.26),2),IF(B18="Vendita",ROUND(MAX(0,U18)*IFERROR(INDEX(Calcoli!$V$7:$V$21,MATCH(C18,Calcoli!$A$7:$A$21,0)),0.26),2),0))))</f>
        <v>0</v>
      </c>
      <c r="L18" s="135">
        <f>IF(B18="","",IF(B18="Acquisto",-(J18+N(G18)),J18-N(G18)-K18))</f>
        <v>-64.09</v>
      </c>
      <c r="M18" s="127" t="str">
        <f>IF(B18="","",IF(ISNA(MATCH(C18,ETF!$A$7:$A$21,0)),"ETF?",IF(NOT(ISNUMBER(A18)),"Data?",IF(AND(B18&lt;&gt;"Dividendo",N(D18)&lt;=0),"Quote?",IF(AND(B18="Vendita",N(D18)&gt;N(Q18)+0.000001),"Quote?",IF(J18&lt;=0,"Importo?","✓"))))))</f>
        <v>✓</v>
      </c>
      <c r="N18">
        <f>IF(OR(B18="Acquisto",B18="Vendita"),COUNTIFS($C$5:C18,C18,$B$5:B18,"Acquisto")+COUNTIFS($C$5:C18,C18,$B$5:B18,"Vendita"),"")</f>
        <v>5</v>
      </c>
      <c r="O18" t="str">
        <f>IF(N18="","",C18&amp;"|"&amp;N18)</f>
        <v>Oro|5</v>
      </c>
      <c r="P18">
        <f>IF(N18="","",IF(N18=1,0,MATCH(C18&amp;"|"&amp;(N18-1),$O$5:$O$1004,0)))</f>
        <v>11</v>
      </c>
      <c r="Q18">
        <f>IF(N18="","",IF(P18=0,SUMIFS(Calcoli!$C$7:$C$21,Calcoli!$A$7:$A$21,C18),INDEX($S$5:$S$1004,P18)))</f>
        <v>11</v>
      </c>
      <c r="R18">
        <f>IF(N18="","",IF(P18=0,SUMIFS(Calcoli!$D$7:$D$21,Calcoli!$A$7:$A$21,C18),INDEX($T$5:$T$1004,P18)))</f>
        <v>623.87</v>
      </c>
      <c r="S18">
        <f>IF(N18="","",IF(B18="Acquisto",Q18+N(D18),MAX(0,Q18-N(D18))))</f>
        <v>12</v>
      </c>
      <c r="T18">
        <f>IF(N18="","",IF(B18="Acquisto",R18+J18+N(G18),IF(Q18&lt;=0,0,R18*(1-MIN(1,N(D18)/Q18)))))</f>
        <v>687.96</v>
      </c>
      <c r="U18" t="str">
        <f>IF(B18&lt;&gt;"Vendita","",J18-N(G18)-IF(Q18&lt;=0,0,R18*MIN(1,N(D18)/Q18)))</f>
        <v/>
      </c>
      <c r="V18" t="str">
        <f>IF(B18&lt;&gt;"Dividendo","",IF(Calcoli!$B$251=1,J18,L18))</f>
        <v/>
      </c>
      <c r="W18" t="str">
        <f>IF(AND(V18&lt;&gt;"",ISNUMBER(A18)),A18,"")</f>
        <v/>
      </c>
    </row>
    <row r="19">
      <c r="A19" s="134" t="n">
        <v>45741</v>
      </c>
      <c r="B19" s="116" t="inlineStr">
        <is>
          <t>Dividendo</t>
        </is>
      </c>
      <c r="C19" s="116" t="inlineStr">
        <is>
          <t>Azionario Emergenti</t>
        </is>
      </c>
      <c r="D19" s="121" t="n">
        <v>17</v>
      </c>
      <c r="E19" s="120" t="n"/>
      <c r="F19" s="120" t="n">
        <v>4.08</v>
      </c>
      <c r="G19" s="120" t="n"/>
      <c r="H19" s="120" t="n"/>
      <c r="I19" s="117" t="inlineStr">
        <is>
          <t>Dividendo trimestrale</t>
        </is>
      </c>
      <c r="J19" s="123">
        <f>IF(B19="","",IF(F19&lt;&gt;"",N(F19),ROUND(N(D19)*N(E19),2)))</f>
        <v>4.08</v>
      </c>
      <c r="K19" s="123">
        <f>IF(B19="","",IF(H19&lt;&gt;"",N(H19),IF(B19="Dividendo",ROUND(J19*IFERROR(INDEX(Calcoli!$V$7:$V$21,MATCH(C19,Calcoli!$A$7:$A$21,0)),0.26),2),IF(B19="Vendita",ROUND(MAX(0,U19)*IFERROR(INDEX(Calcoli!$V$7:$V$21,MATCH(C19,Calcoli!$A$7:$A$21,0)),0.26),2),0))))</f>
        <v>1.06</v>
      </c>
      <c r="L19" s="135">
        <f>IF(B19="","",IF(B19="Acquisto",-(J19+N(G19)),J19-N(G19)-K19))</f>
        <v>3.02</v>
      </c>
      <c r="M19" s="127" t="str">
        <f>IF(B19="","",IF(ISNA(MATCH(C19,ETF!$A$7:$A$21,0)),"ETF?",IF(NOT(ISNUMBER(A19)),"Data?",IF(AND(B19&lt;&gt;"Dividendo",N(D19)&lt;=0),"Quote?",IF(AND(B19="Vendita",N(D19)&gt;N(Q19)+0.000001),"Quote?",IF(J19&lt;=0,"Importo?","✓"))))))</f>
        <v>✓</v>
      </c>
      <c r="N19" t="str">
        <f>IF(OR(B19="Acquisto",B19="Vendita"),COUNTIFS($C$5:C19,C19,$B$5:B19,"Acquisto")+COUNTIFS($C$5:C19,C19,$B$5:B19,"Vendita"),"")</f>
        <v/>
      </c>
      <c r="O19" t="str">
        <f>IF(N19="","",C19&amp;"|"&amp;N19)</f>
        <v/>
      </c>
      <c r="P19" t="str">
        <f>IF(N19="","",IF(N19=1,0,MATCH(C19&amp;"|"&amp;(N19-1),$O$5:$O$1004,0)))</f>
        <v/>
      </c>
      <c r="Q19" t="str">
        <f>IF(N19="","",IF(P19=0,SUMIFS(Calcoli!$C$7:$C$21,Calcoli!$A$7:$A$21,C19),INDEX($S$5:$S$1004,P19)))</f>
        <v/>
      </c>
      <c r="R19" t="str">
        <f>IF(N19="","",IF(P19=0,SUMIFS(Calcoli!$D$7:$D$21,Calcoli!$A$7:$A$21,C19),INDEX($T$5:$T$1004,P19)))</f>
        <v/>
      </c>
      <c r="S19" t="str">
        <f>IF(N19="","",IF(B19="Acquisto",Q19+N(D19),MAX(0,Q19-N(D19))))</f>
        <v/>
      </c>
      <c r="T19" t="str">
        <f>IF(N19="","",IF(B19="Acquisto",R19+J19+N(G19),IF(Q19&lt;=0,0,R19*(1-MIN(1,N(D19)/Q19)))))</f>
        <v/>
      </c>
      <c r="U19" t="str">
        <f>IF(B19&lt;&gt;"Vendita","",J19-N(G19)-IF(Q19&lt;=0,0,R19*MIN(1,N(D19)/Q19)))</f>
        <v/>
      </c>
      <c r="V19">
        <f>IF(B19&lt;&gt;"Dividendo","",IF(Calcoli!$B$251=1,J19,L19))</f>
        <v>3.02</v>
      </c>
      <c r="W19">
        <f>IF(AND(V19&lt;&gt;"",ISNUMBER(A19)),A19,"")</f>
        <v>45741.0</v>
      </c>
    </row>
    <row r="20">
      <c r="A20" s="134" t="n">
        <v>45752</v>
      </c>
      <c r="B20" s="116" t="inlineStr">
        <is>
          <t>Acquisto</t>
        </is>
      </c>
      <c r="C20" s="116" t="inlineStr">
        <is>
          <t>Azionario Mondo</t>
        </is>
      </c>
      <c r="D20" s="121" t="n">
        <v>4</v>
      </c>
      <c r="E20" s="120" t="n">
        <v>91.39</v>
      </c>
      <c r="F20" s="120" t="n"/>
      <c r="G20" s="120" t="n">
        <v>1</v>
      </c>
      <c r="H20" s="120" t="n"/>
      <c r="I20" s="117" t="inlineStr">
        <is>
          <t>PAC mensile</t>
        </is>
      </c>
      <c r="J20" s="123">
        <f>IF(B20="","",IF(F20&lt;&gt;"",N(F20),ROUND(N(D20)*N(E20),2)))</f>
        <v>365.56</v>
      </c>
      <c r="K20" s="123">
        <f>IF(B20="","",IF(H20&lt;&gt;"",N(H20),IF(B20="Dividendo",ROUND(J20*IFERROR(INDEX(Calcoli!$V$7:$V$21,MATCH(C20,Calcoli!$A$7:$A$21,0)),0.26),2),IF(B20="Vendita",ROUND(MAX(0,U20)*IFERROR(INDEX(Calcoli!$V$7:$V$21,MATCH(C20,Calcoli!$A$7:$A$21,0)),0.26),2),0))))</f>
        <v>0</v>
      </c>
      <c r="L20" s="135">
        <f>IF(B20="","",IF(B20="Acquisto",-(J20+N(G20)),J20-N(G20)-K20))</f>
        <v>-366.56</v>
      </c>
      <c r="M20" s="127" t="str">
        <f>IF(B20="","",IF(ISNA(MATCH(C20,ETF!$A$7:$A$21,0)),"ETF?",IF(NOT(ISNUMBER(A20)),"Data?",IF(AND(B20&lt;&gt;"Dividendo",N(D20)&lt;=0),"Quote?",IF(AND(B20="Vendita",N(D20)&gt;N(Q20)+0.000001),"Quote?",IF(J20&lt;=0,"Importo?","✓"))))))</f>
        <v>✓</v>
      </c>
      <c r="N20">
        <f>IF(OR(B20="Acquisto",B20="Vendita"),COUNTIFS($C$5:C20,C20,$B$5:B20,"Acquisto")+COUNTIFS($C$5:C20,C20,$B$5:B20,"Vendita"),"")</f>
        <v>3</v>
      </c>
      <c r="O20" t="str">
        <f>IF(N20="","",C20&amp;"|"&amp;N20)</f>
        <v>Azionario Mondo|3</v>
      </c>
      <c r="P20">
        <f>IF(N20="","",IF(N20=1,0,MATCH(C20&amp;"|"&amp;(N20-1),$O$5:$O$1004,0)))</f>
        <v>12</v>
      </c>
      <c r="Q20">
        <f>IF(N20="","",IF(P20=0,SUMIFS(Calcoli!$C$7:$C$21,Calcoli!$A$7:$A$21,C20),INDEX($S$5:$S$1004,P20)))</f>
        <v>45</v>
      </c>
      <c r="R20">
        <f>IF(N20="","",IF(P20=0,SUMIFS(Calcoli!$D$7:$D$21,Calcoli!$A$7:$A$21,C20),INDEX($T$5:$T$1004,P20)))</f>
        <v>3998.18</v>
      </c>
      <c r="S20">
        <f>IF(N20="","",IF(B20="Acquisto",Q20+N(D20),MAX(0,Q20-N(D20))))</f>
        <v>49</v>
      </c>
      <c r="T20">
        <f>IF(N20="","",IF(B20="Acquisto",R20+J20+N(G20),IF(Q20&lt;=0,0,R20*(1-MIN(1,N(D20)/Q20)))))</f>
        <v>4364.74</v>
      </c>
      <c r="U20" t="str">
        <f>IF(B20&lt;&gt;"Vendita","",J20-N(G20)-IF(Q20&lt;=0,0,R20*MIN(1,N(D20)/Q20)))</f>
        <v/>
      </c>
      <c r="V20" t="str">
        <f>IF(B20&lt;&gt;"Dividendo","",IF(Calcoli!$B$251=1,J20,L20))</f>
        <v/>
      </c>
      <c r="W20" t="str">
        <f>IF(AND(V20&lt;&gt;"",ISNUMBER(A20)),A20,"")</f>
        <v/>
      </c>
    </row>
    <row r="21">
      <c r="A21" s="134" t="n">
        <v>45782</v>
      </c>
      <c r="B21" s="116" t="inlineStr">
        <is>
          <t>Acquisto</t>
        </is>
      </c>
      <c r="C21" s="116" t="inlineStr">
        <is>
          <t>Azionario Mondo</t>
        </is>
      </c>
      <c r="D21" s="121" t="n">
        <v>2</v>
      </c>
      <c r="E21" s="120" t="n">
        <v>93.43000000000001</v>
      </c>
      <c r="F21" s="120" t="n"/>
      <c r="G21" s="120" t="n">
        <v>1</v>
      </c>
      <c r="H21" s="120" t="n"/>
      <c r="I21" s="117" t="inlineStr">
        <is>
          <t>PAC mensile</t>
        </is>
      </c>
      <c r="J21" s="123">
        <f>IF(B21="","",IF(F21&lt;&gt;"",N(F21),ROUND(N(D21)*N(E21),2)))</f>
        <v>186.86</v>
      </c>
      <c r="K21" s="123">
        <f>IF(B21="","",IF(H21&lt;&gt;"",N(H21),IF(B21="Dividendo",ROUND(J21*IFERROR(INDEX(Calcoli!$V$7:$V$21,MATCH(C21,Calcoli!$A$7:$A$21,0)),0.26),2),IF(B21="Vendita",ROUND(MAX(0,U21)*IFERROR(INDEX(Calcoli!$V$7:$V$21,MATCH(C21,Calcoli!$A$7:$A$21,0)),0.26),2),0))))</f>
        <v>0</v>
      </c>
      <c r="L21" s="135">
        <f>IF(B21="","",IF(B21="Acquisto",-(J21+N(G21)),J21-N(G21)-K21))</f>
        <v>-187.86</v>
      </c>
      <c r="M21" s="127" t="str">
        <f>IF(B21="","",IF(ISNA(MATCH(C21,ETF!$A$7:$A$21,0)),"ETF?",IF(NOT(ISNUMBER(A21)),"Data?",IF(AND(B21&lt;&gt;"Dividendo",N(D21)&lt;=0),"Quote?",IF(AND(B21="Vendita",N(D21)&gt;N(Q21)+0.000001),"Quote?",IF(J21&lt;=0,"Importo?","✓"))))))</f>
        <v>✓</v>
      </c>
      <c r="N21">
        <f>IF(OR(B21="Acquisto",B21="Vendita"),COUNTIFS($C$5:C21,C21,$B$5:B21,"Acquisto")+COUNTIFS($C$5:C21,C21,$B$5:B21,"Vendita"),"")</f>
        <v>4</v>
      </c>
      <c r="O21" t="str">
        <f>IF(N21="","",C21&amp;"|"&amp;N21)</f>
        <v>Azionario Mondo|4</v>
      </c>
      <c r="P21">
        <f>IF(N21="","",IF(N21=1,0,MATCH(C21&amp;"|"&amp;(N21-1),$O$5:$O$1004,0)))</f>
        <v>16</v>
      </c>
      <c r="Q21">
        <f>IF(N21="","",IF(P21=0,SUMIFS(Calcoli!$C$7:$C$21,Calcoli!$A$7:$A$21,C21),INDEX($S$5:$S$1004,P21)))</f>
        <v>49</v>
      </c>
      <c r="R21">
        <f>IF(N21="","",IF(P21=0,SUMIFS(Calcoli!$D$7:$D$21,Calcoli!$A$7:$A$21,C21),INDEX($T$5:$T$1004,P21)))</f>
        <v>4364.74</v>
      </c>
      <c r="S21">
        <f>IF(N21="","",IF(B21="Acquisto",Q21+N(D21),MAX(0,Q21-N(D21))))</f>
        <v>51</v>
      </c>
      <c r="T21">
        <f>IF(N21="","",IF(B21="Acquisto",R21+J21+N(G21),IF(Q21&lt;=0,0,R21*(1-MIN(1,N(D21)/Q21)))))</f>
        <v>4552.6</v>
      </c>
      <c r="U21" t="str">
        <f>IF(B21&lt;&gt;"Vendita","",J21-N(G21)-IF(Q21&lt;=0,0,R21*MIN(1,N(D21)/Q21)))</f>
        <v/>
      </c>
      <c r="V21" t="str">
        <f>IF(B21&lt;&gt;"Dividendo","",IF(Calcoli!$B$251=1,J21,L21))</f>
        <v/>
      </c>
      <c r="W21" t="str">
        <f>IF(AND(V21&lt;&gt;"",ISNUMBER(A21)),A21,"")</f>
        <v/>
      </c>
    </row>
    <row r="22">
      <c r="A22" s="134" t="n">
        <v>45782</v>
      </c>
      <c r="B22" s="116" t="inlineStr">
        <is>
          <t>Acquisto</t>
        </is>
      </c>
      <c r="C22" s="116" t="inlineStr">
        <is>
          <t>Azionario Emergenti</t>
        </is>
      </c>
      <c r="D22" s="121" t="n">
        <v>3</v>
      </c>
      <c r="E22" s="120" t="n">
        <v>41.51</v>
      </c>
      <c r="F22" s="120" t="n"/>
      <c r="G22" s="120" t="n">
        <v>1</v>
      </c>
      <c r="H22" s="120" t="n"/>
      <c r="I22" s="117" t="inlineStr">
        <is>
          <t>PAC mensile</t>
        </is>
      </c>
      <c r="J22" s="123">
        <f>IF(B22="","",IF(F22&lt;&gt;"",N(F22),ROUND(N(D22)*N(E22),2)))</f>
        <v>124.53</v>
      </c>
      <c r="K22" s="123">
        <f>IF(B22="","",IF(H22&lt;&gt;"",N(H22),IF(B22="Dividendo",ROUND(J22*IFERROR(INDEX(Calcoli!$V$7:$V$21,MATCH(C22,Calcoli!$A$7:$A$21,0)),0.26),2),IF(B22="Vendita",ROUND(MAX(0,U22)*IFERROR(INDEX(Calcoli!$V$7:$V$21,MATCH(C22,Calcoli!$A$7:$A$21,0)),0.26),2),0))))</f>
        <v>0</v>
      </c>
      <c r="L22" s="135">
        <f>IF(B22="","",IF(B22="Acquisto",-(J22+N(G22)),J22-N(G22)-K22))</f>
        <v>-125.53</v>
      </c>
      <c r="M22" s="127" t="str">
        <f>IF(B22="","",IF(ISNA(MATCH(C22,ETF!$A$7:$A$21,0)),"ETF?",IF(NOT(ISNUMBER(A22)),"Data?",IF(AND(B22&lt;&gt;"Dividendo",N(D22)&lt;=0),"Quote?",IF(AND(B22="Vendita",N(D22)&gt;N(Q22)+0.000001),"Quote?",IF(J22&lt;=0,"Importo?","✓"))))))</f>
        <v>✓</v>
      </c>
      <c r="N22">
        <f>IF(OR(B22="Acquisto",B22="Vendita"),COUNTIFS($C$5:C22,C22,$B$5:B22,"Acquisto")+COUNTIFS($C$5:C22,C22,$B$5:B22,"Vendita"),"")</f>
        <v>6</v>
      </c>
      <c r="O22" t="str">
        <f>IF(N22="","",C22&amp;"|"&amp;N22)</f>
        <v>Azionario Emergenti|6</v>
      </c>
      <c r="P22">
        <f>IF(N22="","",IF(N22=1,0,MATCH(C22&amp;"|"&amp;(N22-1),$O$5:$O$1004,0)))</f>
        <v>13</v>
      </c>
      <c r="Q22">
        <f>IF(N22="","",IF(P22=0,SUMIFS(Calcoli!$C$7:$C$21,Calcoli!$A$7:$A$21,C22),INDEX($S$5:$S$1004,P22)))</f>
        <v>17</v>
      </c>
      <c r="R22">
        <f>IF(N22="","",IF(P22=0,SUMIFS(Calcoli!$D$7:$D$21,Calcoli!$A$7:$A$21,C22),INDEX($T$5:$T$1004,P22)))</f>
        <v>745.14</v>
      </c>
      <c r="S22">
        <f>IF(N22="","",IF(B22="Acquisto",Q22+N(D22),MAX(0,Q22-N(D22))))</f>
        <v>20</v>
      </c>
      <c r="T22">
        <f>IF(N22="","",IF(B22="Acquisto",R22+J22+N(G22),IF(Q22&lt;=0,0,R22*(1-MIN(1,N(D22)/Q22)))))</f>
        <v>870.67</v>
      </c>
      <c r="U22" t="str">
        <f>IF(B22&lt;&gt;"Vendita","",J22-N(G22)-IF(Q22&lt;=0,0,R22*MIN(1,N(D22)/Q22)))</f>
        <v/>
      </c>
      <c r="V22" t="str">
        <f>IF(B22&lt;&gt;"Dividendo","",IF(Calcoli!$B$251=1,J22,L22))</f>
        <v/>
      </c>
      <c r="W22" t="str">
        <f>IF(AND(V22&lt;&gt;"",ISNUMBER(A22)),A22,"")</f>
        <v/>
      </c>
    </row>
    <row r="23">
      <c r="A23" s="134" t="n">
        <v>45782</v>
      </c>
      <c r="B23" s="116" t="inlineStr">
        <is>
          <t>Acquisto</t>
        </is>
      </c>
      <c r="C23" s="116" t="inlineStr">
        <is>
          <t>Oro</t>
        </is>
      </c>
      <c r="D23" s="121" t="n">
        <v>1</v>
      </c>
      <c r="E23" s="120" t="n">
        <v>66.05</v>
      </c>
      <c r="F23" s="120" t="n"/>
      <c r="G23" s="120" t="n">
        <v>1</v>
      </c>
      <c r="H23" s="120" t="n"/>
      <c r="I23" s="117" t="inlineStr">
        <is>
          <t>PAC mensile</t>
        </is>
      </c>
      <c r="J23" s="123">
        <f>IF(B23="","",IF(F23&lt;&gt;"",N(F23),ROUND(N(D23)*N(E23),2)))</f>
        <v>66.05</v>
      </c>
      <c r="K23" s="123">
        <f>IF(B23="","",IF(H23&lt;&gt;"",N(H23),IF(B23="Dividendo",ROUND(J23*IFERROR(INDEX(Calcoli!$V$7:$V$21,MATCH(C23,Calcoli!$A$7:$A$21,0)),0.26),2),IF(B23="Vendita",ROUND(MAX(0,U23)*IFERROR(INDEX(Calcoli!$V$7:$V$21,MATCH(C23,Calcoli!$A$7:$A$21,0)),0.26),2),0))))</f>
        <v>0</v>
      </c>
      <c r="L23" s="135">
        <f>IF(B23="","",IF(B23="Acquisto",-(J23+N(G23)),J23-N(G23)-K23))</f>
        <v>-67.05</v>
      </c>
      <c r="M23" s="127" t="str">
        <f>IF(B23="","",IF(ISNA(MATCH(C23,ETF!$A$7:$A$21,0)),"ETF?",IF(NOT(ISNUMBER(A23)),"Data?",IF(AND(B23&lt;&gt;"Dividendo",N(D23)&lt;=0),"Quote?",IF(AND(B23="Vendita",N(D23)&gt;N(Q23)+0.000001),"Quote?",IF(J23&lt;=0,"Importo?","✓"))))))</f>
        <v>✓</v>
      </c>
      <c r="N23">
        <f>IF(OR(B23="Acquisto",B23="Vendita"),COUNTIFS($C$5:C23,C23,$B$5:B23,"Acquisto")+COUNTIFS($C$5:C23,C23,$B$5:B23,"Vendita"),"")</f>
        <v>6</v>
      </c>
      <c r="O23" t="str">
        <f>IF(N23="","",C23&amp;"|"&amp;N23)</f>
        <v>Oro|6</v>
      </c>
      <c r="P23">
        <f>IF(N23="","",IF(N23=1,0,MATCH(C23&amp;"|"&amp;(N23-1),$O$5:$O$1004,0)))</f>
        <v>14</v>
      </c>
      <c r="Q23">
        <f>IF(N23="","",IF(P23=0,SUMIFS(Calcoli!$C$7:$C$21,Calcoli!$A$7:$A$21,C23),INDEX($S$5:$S$1004,P23)))</f>
        <v>12</v>
      </c>
      <c r="R23">
        <f>IF(N23="","",IF(P23=0,SUMIFS(Calcoli!$D$7:$D$21,Calcoli!$A$7:$A$21,C23),INDEX($T$5:$T$1004,P23)))</f>
        <v>687.96</v>
      </c>
      <c r="S23">
        <f>IF(N23="","",IF(B23="Acquisto",Q23+N(D23),MAX(0,Q23-N(D23))))</f>
        <v>13</v>
      </c>
      <c r="T23">
        <f>IF(N23="","",IF(B23="Acquisto",R23+J23+N(G23),IF(Q23&lt;=0,0,R23*(1-MIN(1,N(D23)/Q23)))))</f>
        <v>755.01</v>
      </c>
      <c r="U23" t="str">
        <f>IF(B23&lt;&gt;"Vendita","",J23-N(G23)-IF(Q23&lt;=0,0,R23*MIN(1,N(D23)/Q23)))</f>
        <v/>
      </c>
      <c r="V23" t="str">
        <f>IF(B23&lt;&gt;"Dividendo","",IF(Calcoli!$B$251=1,J23,L23))</f>
        <v/>
      </c>
      <c r="W23" t="str">
        <f>IF(AND(V23&lt;&gt;"",ISNUMBER(A23)),A23,"")</f>
        <v/>
      </c>
    </row>
    <row r="24">
      <c r="A24" s="134" t="n">
        <v>45813</v>
      </c>
      <c r="B24" s="116" t="inlineStr">
        <is>
          <t>Acquisto</t>
        </is>
      </c>
      <c r="C24" s="116" t="inlineStr">
        <is>
          <t>Azionario Mondo</t>
        </is>
      </c>
      <c r="D24" s="121" t="n">
        <v>3</v>
      </c>
      <c r="E24" s="120" t="n">
        <v>97.26000000000001</v>
      </c>
      <c r="F24" s="120" t="n"/>
      <c r="G24" s="120" t="n">
        <v>1</v>
      </c>
      <c r="H24" s="120" t="n"/>
      <c r="I24" s="117" t="inlineStr">
        <is>
          <t>PAC mensile</t>
        </is>
      </c>
      <c r="J24" s="123">
        <f>IF(B24="","",IF(F24&lt;&gt;"",N(F24),ROUND(N(D24)*N(E24),2)))</f>
        <v>291.78</v>
      </c>
      <c r="K24" s="123">
        <f>IF(B24="","",IF(H24&lt;&gt;"",N(H24),IF(B24="Dividendo",ROUND(J24*IFERROR(INDEX(Calcoli!$V$7:$V$21,MATCH(C24,Calcoli!$A$7:$A$21,0)),0.26),2),IF(B24="Vendita",ROUND(MAX(0,U24)*IFERROR(INDEX(Calcoli!$V$7:$V$21,MATCH(C24,Calcoli!$A$7:$A$21,0)),0.26),2),0))))</f>
        <v>0</v>
      </c>
      <c r="L24" s="135">
        <f>IF(B24="","",IF(B24="Acquisto",-(J24+N(G24)),J24-N(G24)-K24))</f>
        <v>-292.78</v>
      </c>
      <c r="M24" s="127" t="str">
        <f>IF(B24="","",IF(ISNA(MATCH(C24,ETF!$A$7:$A$21,0)),"ETF?",IF(NOT(ISNUMBER(A24)),"Data?",IF(AND(B24&lt;&gt;"Dividendo",N(D24)&lt;=0),"Quote?",IF(AND(B24="Vendita",N(D24)&gt;N(Q24)+0.000001),"Quote?",IF(J24&lt;=0,"Importo?","✓"))))))</f>
        <v>✓</v>
      </c>
      <c r="N24">
        <f>IF(OR(B24="Acquisto",B24="Vendita"),COUNTIFS($C$5:C24,C24,$B$5:B24,"Acquisto")+COUNTIFS($C$5:C24,C24,$B$5:B24,"Vendita"),"")</f>
        <v>5</v>
      </c>
      <c r="O24" t="str">
        <f>IF(N24="","",C24&amp;"|"&amp;N24)</f>
        <v>Azionario Mondo|5</v>
      </c>
      <c r="P24">
        <f>IF(N24="","",IF(N24=1,0,MATCH(C24&amp;"|"&amp;(N24-1),$O$5:$O$1004,0)))</f>
        <v>17</v>
      </c>
      <c r="Q24">
        <f>IF(N24="","",IF(P24=0,SUMIFS(Calcoli!$C$7:$C$21,Calcoli!$A$7:$A$21,C24),INDEX($S$5:$S$1004,P24)))</f>
        <v>51</v>
      </c>
      <c r="R24">
        <f>IF(N24="","",IF(P24=0,SUMIFS(Calcoli!$D$7:$D$21,Calcoli!$A$7:$A$21,C24),INDEX($T$5:$T$1004,P24)))</f>
        <v>4552.6</v>
      </c>
      <c r="S24">
        <f>IF(N24="","",IF(B24="Acquisto",Q24+N(D24),MAX(0,Q24-N(D24))))</f>
        <v>54</v>
      </c>
      <c r="T24">
        <f>IF(N24="","",IF(B24="Acquisto",R24+J24+N(G24),IF(Q24&lt;=0,0,R24*(1-MIN(1,N(D24)/Q24)))))</f>
        <v>4845.38</v>
      </c>
      <c r="U24" t="str">
        <f>IF(B24&lt;&gt;"Vendita","",J24-N(G24)-IF(Q24&lt;=0,0,R24*MIN(1,N(D24)/Q24)))</f>
        <v/>
      </c>
      <c r="V24" t="str">
        <f>IF(B24&lt;&gt;"Dividendo","",IF(Calcoli!$B$251=1,J24,L24))</f>
        <v/>
      </c>
      <c r="W24" t="str">
        <f>IF(AND(V24&lt;&gt;"",ISNUMBER(A24)),A24,"")</f>
        <v/>
      </c>
    </row>
    <row r="25">
      <c r="A25" s="134" t="n">
        <v>45813</v>
      </c>
      <c r="B25" s="116" t="inlineStr">
        <is>
          <t>Acquisto</t>
        </is>
      </c>
      <c r="C25" s="116" t="inlineStr">
        <is>
          <t>Azionario Emergenti</t>
        </is>
      </c>
      <c r="D25" s="121" t="n">
        <v>2</v>
      </c>
      <c r="E25" s="120" t="n">
        <v>41.39</v>
      </c>
      <c r="F25" s="120" t="n"/>
      <c r="G25" s="120" t="n">
        <v>1</v>
      </c>
      <c r="H25" s="120" t="n"/>
      <c r="I25" s="117" t="inlineStr">
        <is>
          <t>PAC mensile</t>
        </is>
      </c>
      <c r="J25" s="123">
        <f>IF(B25="","",IF(F25&lt;&gt;"",N(F25),ROUND(N(D25)*N(E25),2)))</f>
        <v>82.78</v>
      </c>
      <c r="K25" s="123">
        <f>IF(B25="","",IF(H25&lt;&gt;"",N(H25),IF(B25="Dividendo",ROUND(J25*IFERROR(INDEX(Calcoli!$V$7:$V$21,MATCH(C25,Calcoli!$A$7:$A$21,0)),0.26),2),IF(B25="Vendita",ROUND(MAX(0,U25)*IFERROR(INDEX(Calcoli!$V$7:$V$21,MATCH(C25,Calcoli!$A$7:$A$21,0)),0.26),2),0))))</f>
        <v>0</v>
      </c>
      <c r="L25" s="135">
        <f>IF(B25="","",IF(B25="Acquisto",-(J25+N(G25)),J25-N(G25)-K25))</f>
        <v>-83.78</v>
      </c>
      <c r="M25" s="127" t="str">
        <f>IF(B25="","",IF(ISNA(MATCH(C25,ETF!$A$7:$A$21,0)),"ETF?",IF(NOT(ISNUMBER(A25)),"Data?",IF(AND(B25&lt;&gt;"Dividendo",N(D25)&lt;=0),"Quote?",IF(AND(B25="Vendita",N(D25)&gt;N(Q25)+0.000001),"Quote?",IF(J25&lt;=0,"Importo?","✓"))))))</f>
        <v>✓</v>
      </c>
      <c r="N25">
        <f>IF(OR(B25="Acquisto",B25="Vendita"),COUNTIFS($C$5:C25,C25,$B$5:B25,"Acquisto")+COUNTIFS($C$5:C25,C25,$B$5:B25,"Vendita"),"")</f>
        <v>7</v>
      </c>
      <c r="O25" t="str">
        <f>IF(N25="","",C25&amp;"|"&amp;N25)</f>
        <v>Azionario Emergenti|7</v>
      </c>
      <c r="P25">
        <f>IF(N25="","",IF(N25=1,0,MATCH(C25&amp;"|"&amp;(N25-1),$O$5:$O$1004,0)))</f>
        <v>18</v>
      </c>
      <c r="Q25">
        <f>IF(N25="","",IF(P25=0,SUMIFS(Calcoli!$C$7:$C$21,Calcoli!$A$7:$A$21,C25),INDEX($S$5:$S$1004,P25)))</f>
        <v>20</v>
      </c>
      <c r="R25">
        <f>IF(N25="","",IF(P25=0,SUMIFS(Calcoli!$D$7:$D$21,Calcoli!$A$7:$A$21,C25),INDEX($T$5:$T$1004,P25)))</f>
        <v>870.67</v>
      </c>
      <c r="S25">
        <f>IF(N25="","",IF(B25="Acquisto",Q25+N(D25),MAX(0,Q25-N(D25))))</f>
        <v>22</v>
      </c>
      <c r="T25">
        <f>IF(N25="","",IF(B25="Acquisto",R25+J25+N(G25),IF(Q25&lt;=0,0,R25*(1-MIN(1,N(D25)/Q25)))))</f>
        <v>954.45</v>
      </c>
      <c r="U25" t="str">
        <f>IF(B25&lt;&gt;"Vendita","",J25-N(G25)-IF(Q25&lt;=0,0,R25*MIN(1,N(D25)/Q25)))</f>
        <v/>
      </c>
      <c r="V25" t="str">
        <f>IF(B25&lt;&gt;"Dividendo","",IF(Calcoli!$B$251=1,J25,L25))</f>
        <v/>
      </c>
      <c r="W25" t="str">
        <f>IF(AND(V25&lt;&gt;"",ISNUMBER(A25)),A25,"")</f>
        <v/>
      </c>
    </row>
    <row r="26">
      <c r="A26" s="134" t="n">
        <v>45828</v>
      </c>
      <c r="B26" s="116" t="inlineStr">
        <is>
          <t>Dividendo</t>
        </is>
      </c>
      <c r="C26" s="116" t="inlineStr">
        <is>
          <t>Titoli di Stato Euro</t>
        </is>
      </c>
      <c r="D26" s="121" t="n">
        <v>30</v>
      </c>
      <c r="E26" s="120" t="n"/>
      <c r="F26" s="120" t="n">
        <v>18.6</v>
      </c>
      <c r="G26" s="120" t="n"/>
      <c r="H26" s="120" t="n"/>
      <c r="I26" s="117" t="inlineStr">
        <is>
          <t>Cedola semestrale</t>
        </is>
      </c>
      <c r="J26" s="123">
        <f>IF(B26="","",IF(F26&lt;&gt;"",N(F26),ROUND(N(D26)*N(E26),2)))</f>
        <v>18.6</v>
      </c>
      <c r="K26" s="123">
        <f>IF(B26="","",IF(H26&lt;&gt;"",N(H26),IF(B26="Dividendo",ROUND(J26*IFERROR(INDEX(Calcoli!$V$7:$V$21,MATCH(C26,Calcoli!$A$7:$A$21,0)),0.26),2),IF(B26="Vendita",ROUND(MAX(0,U26)*IFERROR(INDEX(Calcoli!$V$7:$V$21,MATCH(C26,Calcoli!$A$7:$A$21,0)),0.26),2),0))))</f>
        <v>2.33</v>
      </c>
      <c r="L26" s="135">
        <f>IF(B26="","",IF(B26="Acquisto",-(J26+N(G26)),J26-N(G26)-K26))</f>
        <v>16.27</v>
      </c>
      <c r="M26" s="127" t="str">
        <f>IF(B26="","",IF(ISNA(MATCH(C26,ETF!$A$7:$A$21,0)),"ETF?",IF(NOT(ISNUMBER(A26)),"Data?",IF(AND(B26&lt;&gt;"Dividendo",N(D26)&lt;=0),"Quote?",IF(AND(B26="Vendita",N(D26)&gt;N(Q26)+0.000001),"Quote?",IF(J26&lt;=0,"Importo?","✓"))))))</f>
        <v>✓</v>
      </c>
      <c r="N26" t="str">
        <f>IF(OR(B26="Acquisto",B26="Vendita"),COUNTIFS($C$5:C26,C26,$B$5:B26,"Acquisto")+COUNTIFS($C$5:C26,C26,$B$5:B26,"Vendita"),"")</f>
        <v/>
      </c>
      <c r="O26" t="str">
        <f>IF(N26="","",C26&amp;"|"&amp;N26)</f>
        <v/>
      </c>
      <c r="P26" t="str">
        <f>IF(N26="","",IF(N26=1,0,MATCH(C26&amp;"|"&amp;(N26-1),$O$5:$O$1004,0)))</f>
        <v/>
      </c>
      <c r="Q26" t="str">
        <f>IF(N26="","",IF(P26=0,SUMIFS(Calcoli!$C$7:$C$21,Calcoli!$A$7:$A$21,C26),INDEX($S$5:$S$1004,P26)))</f>
        <v/>
      </c>
      <c r="R26" t="str">
        <f>IF(N26="","",IF(P26=0,SUMIFS(Calcoli!$D$7:$D$21,Calcoli!$A$7:$A$21,C26),INDEX($T$5:$T$1004,P26)))</f>
        <v/>
      </c>
      <c r="S26" t="str">
        <f>IF(N26="","",IF(B26="Acquisto",Q26+N(D26),MAX(0,Q26-N(D26))))</f>
        <v/>
      </c>
      <c r="T26" t="str">
        <f>IF(N26="","",IF(B26="Acquisto",R26+J26+N(G26),IF(Q26&lt;=0,0,R26*(1-MIN(1,N(D26)/Q26)))))</f>
        <v/>
      </c>
      <c r="U26" t="str">
        <f>IF(B26&lt;&gt;"Vendita","",J26-N(G26)-IF(Q26&lt;=0,0,R26*MIN(1,N(D26)/Q26)))</f>
        <v/>
      </c>
      <c r="V26">
        <f>IF(B26&lt;&gt;"Dividendo","",IF(Calcoli!$B$251=1,J26,L26))</f>
        <v>16.27</v>
      </c>
      <c r="W26">
        <f>IF(AND(V26&lt;&gt;"",ISNUMBER(A26)),A26,"")</f>
        <v>45828.0</v>
      </c>
    </row>
    <row r="27">
      <c r="A27" s="134" t="n">
        <v>45833</v>
      </c>
      <c r="B27" s="116" t="inlineStr">
        <is>
          <t>Dividendo</t>
        </is>
      </c>
      <c r="C27" s="116" t="inlineStr">
        <is>
          <t>Azionario Emergenti</t>
        </is>
      </c>
      <c r="D27" s="121" t="n">
        <v>22</v>
      </c>
      <c r="E27" s="120" t="n"/>
      <c r="F27" s="120" t="n">
        <v>5.28</v>
      </c>
      <c r="G27" s="120" t="n"/>
      <c r="H27" s="120" t="n"/>
      <c r="I27" s="117" t="inlineStr">
        <is>
          <t>Dividendo trimestrale</t>
        </is>
      </c>
      <c r="J27" s="123">
        <f>IF(B27="","",IF(F27&lt;&gt;"",N(F27),ROUND(N(D27)*N(E27),2)))</f>
        <v>5.28</v>
      </c>
      <c r="K27" s="123">
        <f>IF(B27="","",IF(H27&lt;&gt;"",N(H27),IF(B27="Dividendo",ROUND(J27*IFERROR(INDEX(Calcoli!$V$7:$V$21,MATCH(C27,Calcoli!$A$7:$A$21,0)),0.26),2),IF(B27="Vendita",ROUND(MAX(0,U27)*IFERROR(INDEX(Calcoli!$V$7:$V$21,MATCH(C27,Calcoli!$A$7:$A$21,0)),0.26),2),0))))</f>
        <v>1.37</v>
      </c>
      <c r="L27" s="135">
        <f>IF(B27="","",IF(B27="Acquisto",-(J27+N(G27)),J27-N(G27)-K27))</f>
        <v>3.91</v>
      </c>
      <c r="M27" s="127" t="str">
        <f>IF(B27="","",IF(ISNA(MATCH(C27,ETF!$A$7:$A$21,0)),"ETF?",IF(NOT(ISNUMBER(A27)),"Data?",IF(AND(B27&lt;&gt;"Dividendo",N(D27)&lt;=0),"Quote?",IF(AND(B27="Vendita",N(D27)&gt;N(Q27)+0.000001),"Quote?",IF(J27&lt;=0,"Importo?","✓"))))))</f>
        <v>✓</v>
      </c>
      <c r="N27" t="str">
        <f>IF(OR(B27="Acquisto",B27="Vendita"),COUNTIFS($C$5:C27,C27,$B$5:B27,"Acquisto")+COUNTIFS($C$5:C27,C27,$B$5:B27,"Vendita"),"")</f>
        <v/>
      </c>
      <c r="O27" t="str">
        <f>IF(N27="","",C27&amp;"|"&amp;N27)</f>
        <v/>
      </c>
      <c r="P27" t="str">
        <f>IF(N27="","",IF(N27=1,0,MATCH(C27&amp;"|"&amp;(N27-1),$O$5:$O$1004,0)))</f>
        <v/>
      </c>
      <c r="Q27" t="str">
        <f>IF(N27="","",IF(P27=0,SUMIFS(Calcoli!$C$7:$C$21,Calcoli!$A$7:$A$21,C27),INDEX($S$5:$S$1004,P27)))</f>
        <v/>
      </c>
      <c r="R27" t="str">
        <f>IF(N27="","",IF(P27=0,SUMIFS(Calcoli!$D$7:$D$21,Calcoli!$A$7:$A$21,C27),INDEX($T$5:$T$1004,P27)))</f>
        <v/>
      </c>
      <c r="S27" t="str">
        <f>IF(N27="","",IF(B27="Acquisto",Q27+N(D27),MAX(0,Q27-N(D27))))</f>
        <v/>
      </c>
      <c r="T27" t="str">
        <f>IF(N27="","",IF(B27="Acquisto",R27+J27+N(G27),IF(Q27&lt;=0,0,R27*(1-MIN(1,N(D27)/Q27)))))</f>
        <v/>
      </c>
      <c r="U27" t="str">
        <f>IF(B27&lt;&gt;"Vendita","",J27-N(G27)-IF(Q27&lt;=0,0,R27*MIN(1,N(D27)/Q27)))</f>
        <v/>
      </c>
      <c r="V27">
        <f>IF(B27&lt;&gt;"Dividendo","",IF(Calcoli!$B$251=1,J27,L27))</f>
        <v>3.91</v>
      </c>
      <c r="W27">
        <f>IF(AND(V27&lt;&gt;"",ISNUMBER(A27)),A27,"")</f>
        <v>45833.0</v>
      </c>
    </row>
    <row r="28">
      <c r="A28" s="134" t="n">
        <v>45843</v>
      </c>
      <c r="B28" s="116" t="inlineStr">
        <is>
          <t>Acquisto</t>
        </is>
      </c>
      <c r="C28" s="116" t="inlineStr">
        <is>
          <t>Azionario Mondo</t>
        </is>
      </c>
      <c r="D28" s="121" t="n">
        <v>3</v>
      </c>
      <c r="E28" s="120" t="n">
        <v>94.48999999999999</v>
      </c>
      <c r="F28" s="120" t="n"/>
      <c r="G28" s="120" t="n">
        <v>1</v>
      </c>
      <c r="H28" s="120" t="n"/>
      <c r="I28" s="117" t="inlineStr">
        <is>
          <t>PAC mensile</t>
        </is>
      </c>
      <c r="J28" s="123">
        <f>IF(B28="","",IF(F28&lt;&gt;"",N(F28),ROUND(N(D28)*N(E28),2)))</f>
        <v>283.47</v>
      </c>
      <c r="K28" s="123">
        <f>IF(B28="","",IF(H28&lt;&gt;"",N(H28),IF(B28="Dividendo",ROUND(J28*IFERROR(INDEX(Calcoli!$V$7:$V$21,MATCH(C28,Calcoli!$A$7:$A$21,0)),0.26),2),IF(B28="Vendita",ROUND(MAX(0,U28)*IFERROR(INDEX(Calcoli!$V$7:$V$21,MATCH(C28,Calcoli!$A$7:$A$21,0)),0.26),2),0))))</f>
        <v>0</v>
      </c>
      <c r="L28" s="135">
        <f>IF(B28="","",IF(B28="Acquisto",-(J28+N(G28)),J28-N(G28)-K28))</f>
        <v>-284.47</v>
      </c>
      <c r="M28" s="127" t="str">
        <f>IF(B28="","",IF(ISNA(MATCH(C28,ETF!$A$7:$A$21,0)),"ETF?",IF(NOT(ISNUMBER(A28)),"Data?",IF(AND(B28&lt;&gt;"Dividendo",N(D28)&lt;=0),"Quote?",IF(AND(B28="Vendita",N(D28)&gt;N(Q28)+0.000001),"Quote?",IF(J28&lt;=0,"Importo?","✓"))))))</f>
        <v>✓</v>
      </c>
      <c r="N28">
        <f>IF(OR(B28="Acquisto",B28="Vendita"),COUNTIFS($C$5:C28,C28,$B$5:B28,"Acquisto")+COUNTIFS($C$5:C28,C28,$B$5:B28,"Vendita"),"")</f>
        <v>6</v>
      </c>
      <c r="O28" t="str">
        <f>IF(N28="","",C28&amp;"|"&amp;N28)</f>
        <v>Azionario Mondo|6</v>
      </c>
      <c r="P28">
        <f>IF(N28="","",IF(N28=1,0,MATCH(C28&amp;"|"&amp;(N28-1),$O$5:$O$1004,0)))</f>
        <v>20</v>
      </c>
      <c r="Q28">
        <f>IF(N28="","",IF(P28=0,SUMIFS(Calcoli!$C$7:$C$21,Calcoli!$A$7:$A$21,C28),INDEX($S$5:$S$1004,P28)))</f>
        <v>54</v>
      </c>
      <c r="R28">
        <f>IF(N28="","",IF(P28=0,SUMIFS(Calcoli!$D$7:$D$21,Calcoli!$A$7:$A$21,C28),INDEX($T$5:$T$1004,P28)))</f>
        <v>4845.38</v>
      </c>
      <c r="S28">
        <f>IF(N28="","",IF(B28="Acquisto",Q28+N(D28),MAX(0,Q28-N(D28))))</f>
        <v>57</v>
      </c>
      <c r="T28">
        <f>IF(N28="","",IF(B28="Acquisto",R28+J28+N(G28),IF(Q28&lt;=0,0,R28*(1-MIN(1,N(D28)/Q28)))))</f>
        <v>5129.85</v>
      </c>
      <c r="U28" t="str">
        <f>IF(B28&lt;&gt;"Vendita","",J28-N(G28)-IF(Q28&lt;=0,0,R28*MIN(1,N(D28)/Q28)))</f>
        <v/>
      </c>
      <c r="V28" t="str">
        <f>IF(B28&lt;&gt;"Dividendo","",IF(Calcoli!$B$251=1,J28,L28))</f>
        <v/>
      </c>
      <c r="W28" t="str">
        <f>IF(AND(V28&lt;&gt;"",ISNUMBER(A28)),A28,"")</f>
        <v/>
      </c>
    </row>
    <row r="29">
      <c r="A29" s="134" t="n">
        <v>45843</v>
      </c>
      <c r="B29" s="116" t="inlineStr">
        <is>
          <t>Acquisto</t>
        </is>
      </c>
      <c r="C29" s="116" t="inlineStr">
        <is>
          <t>Azionario Emergenti</t>
        </is>
      </c>
      <c r="D29" s="121" t="n">
        <v>2</v>
      </c>
      <c r="E29" s="120" t="n">
        <v>39.12</v>
      </c>
      <c r="F29" s="120" t="n"/>
      <c r="G29" s="120" t="n">
        <v>1</v>
      </c>
      <c r="H29" s="120" t="n"/>
      <c r="I29" s="117" t="inlineStr">
        <is>
          <t>PAC mensile</t>
        </is>
      </c>
      <c r="J29" s="123">
        <f>IF(B29="","",IF(F29&lt;&gt;"",N(F29),ROUND(N(D29)*N(E29),2)))</f>
        <v>78.24</v>
      </c>
      <c r="K29" s="123">
        <f>IF(B29="","",IF(H29&lt;&gt;"",N(H29),IF(B29="Dividendo",ROUND(J29*IFERROR(INDEX(Calcoli!$V$7:$V$21,MATCH(C29,Calcoli!$A$7:$A$21,0)),0.26),2),IF(B29="Vendita",ROUND(MAX(0,U29)*IFERROR(INDEX(Calcoli!$V$7:$V$21,MATCH(C29,Calcoli!$A$7:$A$21,0)),0.26),2),0))))</f>
        <v>0</v>
      </c>
      <c r="L29" s="135">
        <f>IF(B29="","",IF(B29="Acquisto",-(J29+N(G29)),J29-N(G29)-K29))</f>
        <v>-79.24</v>
      </c>
      <c r="M29" s="127" t="str">
        <f>IF(B29="","",IF(ISNA(MATCH(C29,ETF!$A$7:$A$21,0)),"ETF?",IF(NOT(ISNUMBER(A29)),"Data?",IF(AND(B29&lt;&gt;"Dividendo",N(D29)&lt;=0),"Quote?",IF(AND(B29="Vendita",N(D29)&gt;N(Q29)+0.000001),"Quote?",IF(J29&lt;=0,"Importo?","✓"))))))</f>
        <v>✓</v>
      </c>
      <c r="N29">
        <f>IF(OR(B29="Acquisto",B29="Vendita"),COUNTIFS($C$5:C29,C29,$B$5:B29,"Acquisto")+COUNTIFS($C$5:C29,C29,$B$5:B29,"Vendita"),"")</f>
        <v>8</v>
      </c>
      <c r="O29" t="str">
        <f>IF(N29="","",C29&amp;"|"&amp;N29)</f>
        <v>Azionario Emergenti|8</v>
      </c>
      <c r="P29">
        <f>IF(N29="","",IF(N29=1,0,MATCH(C29&amp;"|"&amp;(N29-1),$O$5:$O$1004,0)))</f>
        <v>21</v>
      </c>
      <c r="Q29">
        <f>IF(N29="","",IF(P29=0,SUMIFS(Calcoli!$C$7:$C$21,Calcoli!$A$7:$A$21,C29),INDEX($S$5:$S$1004,P29)))</f>
        <v>22</v>
      </c>
      <c r="R29">
        <f>IF(N29="","",IF(P29=0,SUMIFS(Calcoli!$D$7:$D$21,Calcoli!$A$7:$A$21,C29),INDEX($T$5:$T$1004,P29)))</f>
        <v>954.45</v>
      </c>
      <c r="S29">
        <f>IF(N29="","",IF(B29="Acquisto",Q29+N(D29),MAX(0,Q29-N(D29))))</f>
        <v>24</v>
      </c>
      <c r="T29">
        <f>IF(N29="","",IF(B29="Acquisto",R29+J29+N(G29),IF(Q29&lt;=0,0,R29*(1-MIN(1,N(D29)/Q29)))))</f>
        <v>1033.69</v>
      </c>
      <c r="U29" t="str">
        <f>IF(B29&lt;&gt;"Vendita","",J29-N(G29)-IF(Q29&lt;=0,0,R29*MIN(1,N(D29)/Q29)))</f>
        <v/>
      </c>
      <c r="V29" t="str">
        <f>IF(B29&lt;&gt;"Dividendo","",IF(Calcoli!$B$251=1,J29,L29))</f>
        <v/>
      </c>
      <c r="W29" t="str">
        <f>IF(AND(V29&lt;&gt;"",ISNUMBER(A29)),A29,"")</f>
        <v/>
      </c>
    </row>
    <row r="30">
      <c r="A30" s="134" t="n">
        <v>45874</v>
      </c>
      <c r="B30" s="116" t="inlineStr">
        <is>
          <t>Acquisto</t>
        </is>
      </c>
      <c r="C30" s="116" t="inlineStr">
        <is>
          <t>Azionario Mondo</t>
        </is>
      </c>
      <c r="D30" s="121" t="n">
        <v>3</v>
      </c>
      <c r="E30" s="120" t="n">
        <v>91.58</v>
      </c>
      <c r="F30" s="120" t="n"/>
      <c r="G30" s="120" t="n">
        <v>1</v>
      </c>
      <c r="H30" s="120" t="n"/>
      <c r="I30" s="117" t="inlineStr">
        <is>
          <t>PAC mensile</t>
        </is>
      </c>
      <c r="J30" s="123">
        <f>IF(B30="","",IF(F30&lt;&gt;"",N(F30),ROUND(N(D30)*N(E30),2)))</f>
        <v>274.74</v>
      </c>
      <c r="K30" s="123">
        <f>IF(B30="","",IF(H30&lt;&gt;"",N(H30),IF(B30="Dividendo",ROUND(J30*IFERROR(INDEX(Calcoli!$V$7:$V$21,MATCH(C30,Calcoli!$A$7:$A$21,0)),0.26),2),IF(B30="Vendita",ROUND(MAX(0,U30)*IFERROR(INDEX(Calcoli!$V$7:$V$21,MATCH(C30,Calcoli!$A$7:$A$21,0)),0.26),2),0))))</f>
        <v>0</v>
      </c>
      <c r="L30" s="135">
        <f>IF(B30="","",IF(B30="Acquisto",-(J30+N(G30)),J30-N(G30)-K30))</f>
        <v>-275.74</v>
      </c>
      <c r="M30" s="127" t="str">
        <f>IF(B30="","",IF(ISNA(MATCH(C30,ETF!$A$7:$A$21,0)),"ETF?",IF(NOT(ISNUMBER(A30)),"Data?",IF(AND(B30&lt;&gt;"Dividendo",N(D30)&lt;=0),"Quote?",IF(AND(B30="Vendita",N(D30)&gt;N(Q30)+0.000001),"Quote?",IF(J30&lt;=0,"Importo?","✓"))))))</f>
        <v>✓</v>
      </c>
      <c r="N30">
        <f>IF(OR(B30="Acquisto",B30="Vendita"),COUNTIFS($C$5:C30,C30,$B$5:B30,"Acquisto")+COUNTIFS($C$5:C30,C30,$B$5:B30,"Vendita"),"")</f>
        <v>7</v>
      </c>
      <c r="O30" t="str">
        <f>IF(N30="","",C30&amp;"|"&amp;N30)</f>
        <v>Azionario Mondo|7</v>
      </c>
      <c r="P30">
        <f>IF(N30="","",IF(N30=1,0,MATCH(C30&amp;"|"&amp;(N30-1),$O$5:$O$1004,0)))</f>
        <v>24</v>
      </c>
      <c r="Q30">
        <f>IF(N30="","",IF(P30=0,SUMIFS(Calcoli!$C$7:$C$21,Calcoli!$A$7:$A$21,C30),INDEX($S$5:$S$1004,P30)))</f>
        <v>57</v>
      </c>
      <c r="R30">
        <f>IF(N30="","",IF(P30=0,SUMIFS(Calcoli!$D$7:$D$21,Calcoli!$A$7:$A$21,C30),INDEX($T$5:$T$1004,P30)))</f>
        <v>5129.85</v>
      </c>
      <c r="S30">
        <f>IF(N30="","",IF(B30="Acquisto",Q30+N(D30),MAX(0,Q30-N(D30))))</f>
        <v>60</v>
      </c>
      <c r="T30">
        <f>IF(N30="","",IF(B30="Acquisto",R30+J30+N(G30),IF(Q30&lt;=0,0,R30*(1-MIN(1,N(D30)/Q30)))))</f>
        <v>5405.59</v>
      </c>
      <c r="U30" t="str">
        <f>IF(B30&lt;&gt;"Vendita","",J30-N(G30)-IF(Q30&lt;=0,0,R30*MIN(1,N(D30)/Q30)))</f>
        <v/>
      </c>
      <c r="V30" t="str">
        <f>IF(B30&lt;&gt;"Dividendo","",IF(Calcoli!$B$251=1,J30,L30))</f>
        <v/>
      </c>
      <c r="W30" t="str">
        <f>IF(AND(V30&lt;&gt;"",ISNUMBER(A30)),A30,"")</f>
        <v/>
      </c>
    </row>
    <row r="31">
      <c r="A31" s="134" t="n">
        <v>45874</v>
      </c>
      <c r="B31" s="116" t="inlineStr">
        <is>
          <t>Acquisto</t>
        </is>
      </c>
      <c r="C31" s="116" t="inlineStr">
        <is>
          <t>Azionario Emergenti</t>
        </is>
      </c>
      <c r="D31" s="121" t="n">
        <v>1</v>
      </c>
      <c r="E31" s="120" t="n">
        <v>39.28</v>
      </c>
      <c r="F31" s="120" t="n"/>
      <c r="G31" s="120" t="n">
        <v>1</v>
      </c>
      <c r="H31" s="120" t="n"/>
      <c r="I31" s="117" t="inlineStr">
        <is>
          <t>PAC mensile</t>
        </is>
      </c>
      <c r="J31" s="123">
        <f>IF(B31="","",IF(F31&lt;&gt;"",N(F31),ROUND(N(D31)*N(E31),2)))</f>
        <v>39.28</v>
      </c>
      <c r="K31" s="123">
        <f>IF(B31="","",IF(H31&lt;&gt;"",N(H31),IF(B31="Dividendo",ROUND(J31*IFERROR(INDEX(Calcoli!$V$7:$V$21,MATCH(C31,Calcoli!$A$7:$A$21,0)),0.26),2),IF(B31="Vendita",ROUND(MAX(0,U31)*IFERROR(INDEX(Calcoli!$V$7:$V$21,MATCH(C31,Calcoli!$A$7:$A$21,0)),0.26),2),0))))</f>
        <v>0</v>
      </c>
      <c r="L31" s="135">
        <f>IF(B31="","",IF(B31="Acquisto",-(J31+N(G31)),J31-N(G31)-K31))</f>
        <v>-40.28</v>
      </c>
      <c r="M31" s="127" t="str">
        <f>IF(B31="","",IF(ISNA(MATCH(C31,ETF!$A$7:$A$21,0)),"ETF?",IF(NOT(ISNUMBER(A31)),"Data?",IF(AND(B31&lt;&gt;"Dividendo",N(D31)&lt;=0),"Quote?",IF(AND(B31="Vendita",N(D31)&gt;N(Q31)+0.000001),"Quote?",IF(J31&lt;=0,"Importo?","✓"))))))</f>
        <v>✓</v>
      </c>
      <c r="N31">
        <f>IF(OR(B31="Acquisto",B31="Vendita"),COUNTIFS($C$5:C31,C31,$B$5:B31,"Acquisto")+COUNTIFS($C$5:C31,C31,$B$5:B31,"Vendita"),"")</f>
        <v>9</v>
      </c>
      <c r="O31" t="str">
        <f>IF(N31="","",C31&amp;"|"&amp;N31)</f>
        <v>Azionario Emergenti|9</v>
      </c>
      <c r="P31">
        <f>IF(N31="","",IF(N31=1,0,MATCH(C31&amp;"|"&amp;(N31-1),$O$5:$O$1004,0)))</f>
        <v>25</v>
      </c>
      <c r="Q31">
        <f>IF(N31="","",IF(P31=0,SUMIFS(Calcoli!$C$7:$C$21,Calcoli!$A$7:$A$21,C31),INDEX($S$5:$S$1004,P31)))</f>
        <v>24</v>
      </c>
      <c r="R31">
        <f>IF(N31="","",IF(P31=0,SUMIFS(Calcoli!$D$7:$D$21,Calcoli!$A$7:$A$21,C31),INDEX($T$5:$T$1004,P31)))</f>
        <v>1033.69</v>
      </c>
      <c r="S31">
        <f>IF(N31="","",IF(B31="Acquisto",Q31+N(D31),MAX(0,Q31-N(D31))))</f>
        <v>25</v>
      </c>
      <c r="T31">
        <f>IF(N31="","",IF(B31="Acquisto",R31+J31+N(G31),IF(Q31&lt;=0,0,R31*(1-MIN(1,N(D31)/Q31)))))</f>
        <v>1073.97</v>
      </c>
      <c r="U31" t="str">
        <f>IF(B31&lt;&gt;"Vendita","",J31-N(G31)-IF(Q31&lt;=0,0,R31*MIN(1,N(D31)/Q31)))</f>
        <v/>
      </c>
      <c r="V31" t="str">
        <f>IF(B31&lt;&gt;"Dividendo","",IF(Calcoli!$B$251=1,J31,L31))</f>
        <v/>
      </c>
      <c r="W31" t="str">
        <f>IF(AND(V31&lt;&gt;"",ISNUMBER(A31)),A31,"")</f>
        <v/>
      </c>
    </row>
    <row r="32">
      <c r="A32" s="134" t="n">
        <v>45874</v>
      </c>
      <c r="B32" s="116" t="inlineStr">
        <is>
          <t>Acquisto</t>
        </is>
      </c>
      <c r="C32" s="116" t="inlineStr">
        <is>
          <t>Oro</t>
        </is>
      </c>
      <c r="D32" s="121" t="n">
        <v>1</v>
      </c>
      <c r="E32" s="120" t="n">
        <v>72.56</v>
      </c>
      <c r="F32" s="120" t="n"/>
      <c r="G32" s="120" t="n">
        <v>1</v>
      </c>
      <c r="H32" s="120" t="n"/>
      <c r="I32" s="117" t="inlineStr">
        <is>
          <t>PAC mensile</t>
        </is>
      </c>
      <c r="J32" s="123">
        <f>IF(B32="","",IF(F32&lt;&gt;"",N(F32),ROUND(N(D32)*N(E32),2)))</f>
        <v>72.56</v>
      </c>
      <c r="K32" s="123">
        <f>IF(B32="","",IF(H32&lt;&gt;"",N(H32),IF(B32="Dividendo",ROUND(J32*IFERROR(INDEX(Calcoli!$V$7:$V$21,MATCH(C32,Calcoli!$A$7:$A$21,0)),0.26),2),IF(B32="Vendita",ROUND(MAX(0,U32)*IFERROR(INDEX(Calcoli!$V$7:$V$21,MATCH(C32,Calcoli!$A$7:$A$21,0)),0.26),2),0))))</f>
        <v>0</v>
      </c>
      <c r="L32" s="135">
        <f>IF(B32="","",IF(B32="Acquisto",-(J32+N(G32)),J32-N(G32)-K32))</f>
        <v>-73.56</v>
      </c>
      <c r="M32" s="127" t="str">
        <f>IF(B32="","",IF(ISNA(MATCH(C32,ETF!$A$7:$A$21,0)),"ETF?",IF(NOT(ISNUMBER(A32)),"Data?",IF(AND(B32&lt;&gt;"Dividendo",N(D32)&lt;=0),"Quote?",IF(AND(B32="Vendita",N(D32)&gt;N(Q32)+0.000001),"Quote?",IF(J32&lt;=0,"Importo?","✓"))))))</f>
        <v>✓</v>
      </c>
      <c r="N32">
        <f>IF(OR(B32="Acquisto",B32="Vendita"),COUNTIFS($C$5:C32,C32,$B$5:B32,"Acquisto")+COUNTIFS($C$5:C32,C32,$B$5:B32,"Vendita"),"")</f>
        <v>7</v>
      </c>
      <c r="O32" t="str">
        <f>IF(N32="","",C32&amp;"|"&amp;N32)</f>
        <v>Oro|7</v>
      </c>
      <c r="P32">
        <f>IF(N32="","",IF(N32=1,0,MATCH(C32&amp;"|"&amp;(N32-1),$O$5:$O$1004,0)))</f>
        <v>19</v>
      </c>
      <c r="Q32">
        <f>IF(N32="","",IF(P32=0,SUMIFS(Calcoli!$C$7:$C$21,Calcoli!$A$7:$A$21,C32),INDEX($S$5:$S$1004,P32)))</f>
        <v>13</v>
      </c>
      <c r="R32">
        <f>IF(N32="","",IF(P32=0,SUMIFS(Calcoli!$D$7:$D$21,Calcoli!$A$7:$A$21,C32),INDEX($T$5:$T$1004,P32)))</f>
        <v>755.01</v>
      </c>
      <c r="S32">
        <f>IF(N32="","",IF(B32="Acquisto",Q32+N(D32),MAX(0,Q32-N(D32))))</f>
        <v>14</v>
      </c>
      <c r="T32">
        <f>IF(N32="","",IF(B32="Acquisto",R32+J32+N(G32),IF(Q32&lt;=0,0,R32*(1-MIN(1,N(D32)/Q32)))))</f>
        <v>828.57</v>
      </c>
      <c r="U32" t="str">
        <f>IF(B32&lt;&gt;"Vendita","",J32-N(G32)-IF(Q32&lt;=0,0,R32*MIN(1,N(D32)/Q32)))</f>
        <v/>
      </c>
      <c r="V32" t="str">
        <f>IF(B32&lt;&gt;"Dividendo","",IF(Calcoli!$B$251=1,J32,L32))</f>
        <v/>
      </c>
      <c r="W32" t="str">
        <f>IF(AND(V32&lt;&gt;"",ISNUMBER(A32)),A32,"")</f>
        <v/>
      </c>
    </row>
    <row r="33">
      <c r="A33" s="134" t="n">
        <v>45905</v>
      </c>
      <c r="B33" s="116" t="inlineStr">
        <is>
          <t>Acquisto</t>
        </is>
      </c>
      <c r="C33" s="116" t="inlineStr">
        <is>
          <t>Azionario Mondo</t>
        </is>
      </c>
      <c r="D33" s="121" t="n">
        <v>2</v>
      </c>
      <c r="E33" s="120" t="n">
        <v>94.25</v>
      </c>
      <c r="F33" s="120" t="n"/>
      <c r="G33" s="120" t="n">
        <v>1</v>
      </c>
      <c r="H33" s="120" t="n"/>
      <c r="I33" s="117" t="inlineStr">
        <is>
          <t>PAC mensile</t>
        </is>
      </c>
      <c r="J33" s="123">
        <f>IF(B33="","",IF(F33&lt;&gt;"",N(F33),ROUND(N(D33)*N(E33),2)))</f>
        <v>188.5</v>
      </c>
      <c r="K33" s="123">
        <f>IF(B33="","",IF(H33&lt;&gt;"",N(H33),IF(B33="Dividendo",ROUND(J33*IFERROR(INDEX(Calcoli!$V$7:$V$21,MATCH(C33,Calcoli!$A$7:$A$21,0)),0.26),2),IF(B33="Vendita",ROUND(MAX(0,U33)*IFERROR(INDEX(Calcoli!$V$7:$V$21,MATCH(C33,Calcoli!$A$7:$A$21,0)),0.26),2),0))))</f>
        <v>0</v>
      </c>
      <c r="L33" s="135">
        <f>IF(B33="","",IF(B33="Acquisto",-(J33+N(G33)),J33-N(G33)-K33))</f>
        <v>-189.5</v>
      </c>
      <c r="M33" s="127" t="str">
        <f>IF(B33="","",IF(ISNA(MATCH(C33,ETF!$A$7:$A$21,0)),"ETF?",IF(NOT(ISNUMBER(A33)),"Data?",IF(AND(B33&lt;&gt;"Dividendo",N(D33)&lt;=0),"Quote?",IF(AND(B33="Vendita",N(D33)&gt;N(Q33)+0.000001),"Quote?",IF(J33&lt;=0,"Importo?","✓"))))))</f>
        <v>✓</v>
      </c>
      <c r="N33">
        <f>IF(OR(B33="Acquisto",B33="Vendita"),COUNTIFS($C$5:C33,C33,$B$5:B33,"Acquisto")+COUNTIFS($C$5:C33,C33,$B$5:B33,"Vendita"),"")</f>
        <v>8</v>
      </c>
      <c r="O33" t="str">
        <f>IF(N33="","",C33&amp;"|"&amp;N33)</f>
        <v>Azionario Mondo|8</v>
      </c>
      <c r="P33">
        <f>IF(N33="","",IF(N33=1,0,MATCH(C33&amp;"|"&amp;(N33-1),$O$5:$O$1004,0)))</f>
        <v>26</v>
      </c>
      <c r="Q33">
        <f>IF(N33="","",IF(P33=0,SUMIFS(Calcoli!$C$7:$C$21,Calcoli!$A$7:$A$21,C33),INDEX($S$5:$S$1004,P33)))</f>
        <v>60</v>
      </c>
      <c r="R33">
        <f>IF(N33="","",IF(P33=0,SUMIFS(Calcoli!$D$7:$D$21,Calcoli!$A$7:$A$21,C33),INDEX($T$5:$T$1004,P33)))</f>
        <v>5405.59</v>
      </c>
      <c r="S33">
        <f>IF(N33="","",IF(B33="Acquisto",Q33+N(D33),MAX(0,Q33-N(D33))))</f>
        <v>62</v>
      </c>
      <c r="T33">
        <f>IF(N33="","",IF(B33="Acquisto",R33+J33+N(G33),IF(Q33&lt;=0,0,R33*(1-MIN(1,N(D33)/Q33)))))</f>
        <v>5595.09</v>
      </c>
      <c r="U33" t="str">
        <f>IF(B33&lt;&gt;"Vendita","",J33-N(G33)-IF(Q33&lt;=0,0,R33*MIN(1,N(D33)/Q33)))</f>
        <v/>
      </c>
      <c r="V33" t="str">
        <f>IF(B33&lt;&gt;"Dividendo","",IF(Calcoli!$B$251=1,J33,L33))</f>
        <v/>
      </c>
      <c r="W33" t="str">
        <f>IF(AND(V33&lt;&gt;"",ISNUMBER(A33)),A33,"")</f>
        <v/>
      </c>
    </row>
    <row r="34">
      <c r="A34" s="134" t="n">
        <v>45905</v>
      </c>
      <c r="B34" s="116" t="inlineStr">
        <is>
          <t>Acquisto</t>
        </is>
      </c>
      <c r="C34" s="116" t="inlineStr">
        <is>
          <t>Azionario Emergenti</t>
        </is>
      </c>
      <c r="D34" s="121" t="n">
        <v>3</v>
      </c>
      <c r="E34" s="120" t="n">
        <v>38.21</v>
      </c>
      <c r="F34" s="120" t="n"/>
      <c r="G34" s="120" t="n">
        <v>1</v>
      </c>
      <c r="H34" s="120" t="n"/>
      <c r="I34" s="117" t="inlineStr">
        <is>
          <t>PAC mensile</t>
        </is>
      </c>
      <c r="J34" s="123">
        <f>IF(B34="","",IF(F34&lt;&gt;"",N(F34),ROUND(N(D34)*N(E34),2)))</f>
        <v>114.63</v>
      </c>
      <c r="K34" s="123">
        <f>IF(B34="","",IF(H34&lt;&gt;"",N(H34),IF(B34="Dividendo",ROUND(J34*IFERROR(INDEX(Calcoli!$V$7:$V$21,MATCH(C34,Calcoli!$A$7:$A$21,0)),0.26),2),IF(B34="Vendita",ROUND(MAX(0,U34)*IFERROR(INDEX(Calcoli!$V$7:$V$21,MATCH(C34,Calcoli!$A$7:$A$21,0)),0.26),2),0))))</f>
        <v>0</v>
      </c>
      <c r="L34" s="135">
        <f>IF(B34="","",IF(B34="Acquisto",-(J34+N(G34)),J34-N(G34)-K34))</f>
        <v>-115.63</v>
      </c>
      <c r="M34" s="127" t="str">
        <f>IF(B34="","",IF(ISNA(MATCH(C34,ETF!$A$7:$A$21,0)),"ETF?",IF(NOT(ISNUMBER(A34)),"Data?",IF(AND(B34&lt;&gt;"Dividendo",N(D34)&lt;=0),"Quote?",IF(AND(B34="Vendita",N(D34)&gt;N(Q34)+0.000001),"Quote?",IF(J34&lt;=0,"Importo?","✓"))))))</f>
        <v>✓</v>
      </c>
      <c r="N34">
        <f>IF(OR(B34="Acquisto",B34="Vendita"),COUNTIFS($C$5:C34,C34,$B$5:B34,"Acquisto")+COUNTIFS($C$5:C34,C34,$B$5:B34,"Vendita"),"")</f>
        <v>10</v>
      </c>
      <c r="O34" t="str">
        <f>IF(N34="","",C34&amp;"|"&amp;N34)</f>
        <v>Azionario Emergenti|10</v>
      </c>
      <c r="P34">
        <f>IF(N34="","",IF(N34=1,0,MATCH(C34&amp;"|"&amp;(N34-1),$O$5:$O$1004,0)))</f>
        <v>27</v>
      </c>
      <c r="Q34">
        <f>IF(N34="","",IF(P34=0,SUMIFS(Calcoli!$C$7:$C$21,Calcoli!$A$7:$A$21,C34),INDEX($S$5:$S$1004,P34)))</f>
        <v>25</v>
      </c>
      <c r="R34">
        <f>IF(N34="","",IF(P34=0,SUMIFS(Calcoli!$D$7:$D$21,Calcoli!$A$7:$A$21,C34),INDEX($T$5:$T$1004,P34)))</f>
        <v>1073.97</v>
      </c>
      <c r="S34">
        <f>IF(N34="","",IF(B34="Acquisto",Q34+N(D34),MAX(0,Q34-N(D34))))</f>
        <v>28</v>
      </c>
      <c r="T34">
        <f>IF(N34="","",IF(B34="Acquisto",R34+J34+N(G34),IF(Q34&lt;=0,0,R34*(1-MIN(1,N(D34)/Q34)))))</f>
        <v>1189.6</v>
      </c>
      <c r="U34" t="str">
        <f>IF(B34&lt;&gt;"Vendita","",J34-N(G34)-IF(Q34&lt;=0,0,R34*MIN(1,N(D34)/Q34)))</f>
        <v/>
      </c>
      <c r="V34" t="str">
        <f>IF(B34&lt;&gt;"Dividendo","",IF(Calcoli!$B$251=1,J34,L34))</f>
        <v/>
      </c>
      <c r="W34" t="str">
        <f>IF(AND(V34&lt;&gt;"",ISNUMBER(A34)),A34,"")</f>
        <v/>
      </c>
    </row>
    <row r="35">
      <c r="A35" s="134" t="n">
        <v>45905</v>
      </c>
      <c r="B35" s="116" t="inlineStr">
        <is>
          <t>Acquisto</t>
        </is>
      </c>
      <c r="C35" s="116" t="inlineStr">
        <is>
          <t>Oro</t>
        </is>
      </c>
      <c r="D35" s="121" t="n">
        <v>1</v>
      </c>
      <c r="E35" s="120" t="n">
        <v>71.78</v>
      </c>
      <c r="F35" s="120" t="n"/>
      <c r="G35" s="120" t="n">
        <v>1</v>
      </c>
      <c r="H35" s="120" t="n"/>
      <c r="I35" s="117" t="inlineStr">
        <is>
          <t>PAC mensile</t>
        </is>
      </c>
      <c r="J35" s="123">
        <f>IF(B35="","",IF(F35&lt;&gt;"",N(F35),ROUND(N(D35)*N(E35),2)))</f>
        <v>71.78</v>
      </c>
      <c r="K35" s="123">
        <f>IF(B35="","",IF(H35&lt;&gt;"",N(H35),IF(B35="Dividendo",ROUND(J35*IFERROR(INDEX(Calcoli!$V$7:$V$21,MATCH(C35,Calcoli!$A$7:$A$21,0)),0.26),2),IF(B35="Vendita",ROUND(MAX(0,U35)*IFERROR(INDEX(Calcoli!$V$7:$V$21,MATCH(C35,Calcoli!$A$7:$A$21,0)),0.26),2),0))))</f>
        <v>0</v>
      </c>
      <c r="L35" s="135">
        <f>IF(B35="","",IF(B35="Acquisto",-(J35+N(G35)),J35-N(G35)-K35))</f>
        <v>-72.78</v>
      </c>
      <c r="M35" s="127" t="str">
        <f>IF(B35="","",IF(ISNA(MATCH(C35,ETF!$A$7:$A$21,0)),"ETF?",IF(NOT(ISNUMBER(A35)),"Data?",IF(AND(B35&lt;&gt;"Dividendo",N(D35)&lt;=0),"Quote?",IF(AND(B35="Vendita",N(D35)&gt;N(Q35)+0.000001),"Quote?",IF(J35&lt;=0,"Importo?","✓"))))))</f>
        <v>✓</v>
      </c>
      <c r="N35">
        <f>IF(OR(B35="Acquisto",B35="Vendita"),COUNTIFS($C$5:C35,C35,$B$5:B35,"Acquisto")+COUNTIFS($C$5:C35,C35,$B$5:B35,"Vendita"),"")</f>
        <v>8</v>
      </c>
      <c r="O35" t="str">
        <f>IF(N35="","",C35&amp;"|"&amp;N35)</f>
        <v>Oro|8</v>
      </c>
      <c r="P35">
        <f>IF(N35="","",IF(N35=1,0,MATCH(C35&amp;"|"&amp;(N35-1),$O$5:$O$1004,0)))</f>
        <v>28</v>
      </c>
      <c r="Q35">
        <f>IF(N35="","",IF(P35=0,SUMIFS(Calcoli!$C$7:$C$21,Calcoli!$A$7:$A$21,C35),INDEX($S$5:$S$1004,P35)))</f>
        <v>14</v>
      </c>
      <c r="R35">
        <f>IF(N35="","",IF(P35=0,SUMIFS(Calcoli!$D$7:$D$21,Calcoli!$A$7:$A$21,C35),INDEX($T$5:$T$1004,P35)))</f>
        <v>828.57</v>
      </c>
      <c r="S35">
        <f>IF(N35="","",IF(B35="Acquisto",Q35+N(D35),MAX(0,Q35-N(D35))))</f>
        <v>15</v>
      </c>
      <c r="T35">
        <f>IF(N35="","",IF(B35="Acquisto",R35+J35+N(G35),IF(Q35&lt;=0,0,R35*(1-MIN(1,N(D35)/Q35)))))</f>
        <v>901.35</v>
      </c>
      <c r="U35" t="str">
        <f>IF(B35&lt;&gt;"Vendita","",J35-N(G35)-IF(Q35&lt;=0,0,R35*MIN(1,N(D35)/Q35)))</f>
        <v/>
      </c>
      <c r="V35" t="str">
        <f>IF(B35&lt;&gt;"Dividendo","",IF(Calcoli!$B$251=1,J35,L35))</f>
        <v/>
      </c>
      <c r="W35" t="str">
        <f>IF(AND(V35&lt;&gt;"",ISNUMBER(A35)),A35,"")</f>
        <v/>
      </c>
    </row>
    <row r="36">
      <c r="A36" s="134" t="n">
        <v>45925</v>
      </c>
      <c r="B36" s="116" t="inlineStr">
        <is>
          <t>Dividendo</t>
        </is>
      </c>
      <c r="C36" s="116" t="inlineStr">
        <is>
          <t>Azionario Emergenti</t>
        </is>
      </c>
      <c r="D36" s="121" t="n">
        <v>28</v>
      </c>
      <c r="E36" s="120" t="n"/>
      <c r="F36" s="120" t="n">
        <v>6.72</v>
      </c>
      <c r="G36" s="120" t="n"/>
      <c r="H36" s="120" t="n"/>
      <c r="I36" s="117" t="inlineStr">
        <is>
          <t>Dividendo trimestrale</t>
        </is>
      </c>
      <c r="J36" s="123">
        <f>IF(B36="","",IF(F36&lt;&gt;"",N(F36),ROUND(N(D36)*N(E36),2)))</f>
        <v>6.72</v>
      </c>
      <c r="K36" s="123">
        <f>IF(B36="","",IF(H36&lt;&gt;"",N(H36),IF(B36="Dividendo",ROUND(J36*IFERROR(INDEX(Calcoli!$V$7:$V$21,MATCH(C36,Calcoli!$A$7:$A$21,0)),0.26),2),IF(B36="Vendita",ROUND(MAX(0,U36)*IFERROR(INDEX(Calcoli!$V$7:$V$21,MATCH(C36,Calcoli!$A$7:$A$21,0)),0.26),2),0))))</f>
        <v>1.75</v>
      </c>
      <c r="L36" s="135">
        <f>IF(B36="","",IF(B36="Acquisto",-(J36+N(G36)),J36-N(G36)-K36))</f>
        <v>4.97</v>
      </c>
      <c r="M36" s="127" t="str">
        <f>IF(B36="","",IF(ISNA(MATCH(C36,ETF!$A$7:$A$21,0)),"ETF?",IF(NOT(ISNUMBER(A36)),"Data?",IF(AND(B36&lt;&gt;"Dividendo",N(D36)&lt;=0),"Quote?",IF(AND(B36="Vendita",N(D36)&gt;N(Q36)+0.000001),"Quote?",IF(J36&lt;=0,"Importo?","✓"))))))</f>
        <v>✓</v>
      </c>
      <c r="N36" t="str">
        <f>IF(OR(B36="Acquisto",B36="Vendita"),COUNTIFS($C$5:C36,C36,$B$5:B36,"Acquisto")+COUNTIFS($C$5:C36,C36,$B$5:B36,"Vendita"),"")</f>
        <v/>
      </c>
      <c r="O36" t="str">
        <f>IF(N36="","",C36&amp;"|"&amp;N36)</f>
        <v/>
      </c>
      <c r="P36" t="str">
        <f>IF(N36="","",IF(N36=1,0,MATCH(C36&amp;"|"&amp;(N36-1),$O$5:$O$1004,0)))</f>
        <v/>
      </c>
      <c r="Q36" t="str">
        <f>IF(N36="","",IF(P36=0,SUMIFS(Calcoli!$C$7:$C$21,Calcoli!$A$7:$A$21,C36),INDEX($S$5:$S$1004,P36)))</f>
        <v/>
      </c>
      <c r="R36" t="str">
        <f>IF(N36="","",IF(P36=0,SUMIFS(Calcoli!$D$7:$D$21,Calcoli!$A$7:$A$21,C36),INDEX($T$5:$T$1004,P36)))</f>
        <v/>
      </c>
      <c r="S36" t="str">
        <f>IF(N36="","",IF(B36="Acquisto",Q36+N(D36),MAX(0,Q36-N(D36))))</f>
        <v/>
      </c>
      <c r="T36" t="str">
        <f>IF(N36="","",IF(B36="Acquisto",R36+J36+N(G36),IF(Q36&lt;=0,0,R36*(1-MIN(1,N(D36)/Q36)))))</f>
        <v/>
      </c>
      <c r="U36" t="str">
        <f>IF(B36&lt;&gt;"Vendita","",J36-N(G36)-IF(Q36&lt;=0,0,R36*MIN(1,N(D36)/Q36)))</f>
        <v/>
      </c>
      <c r="V36">
        <f>IF(B36&lt;&gt;"Dividendo","",IF(Calcoli!$B$251=1,J36,L36))</f>
        <v>4.97</v>
      </c>
      <c r="W36">
        <f>IF(AND(V36&lt;&gt;"",ISNUMBER(A36)),A36,"")</f>
        <v>45925.0</v>
      </c>
    </row>
    <row r="37">
      <c r="A37" s="134" t="n">
        <v>45935</v>
      </c>
      <c r="B37" s="116" t="inlineStr">
        <is>
          <t>Acquisto</t>
        </is>
      </c>
      <c r="C37" s="116" t="inlineStr">
        <is>
          <t>Azionario Mondo</t>
        </is>
      </c>
      <c r="D37" s="121" t="n">
        <v>4</v>
      </c>
      <c r="E37" s="120" t="n">
        <v>96.34999999999999</v>
      </c>
      <c r="F37" s="120" t="n"/>
      <c r="G37" s="120" t="n">
        <v>1</v>
      </c>
      <c r="H37" s="120" t="n"/>
      <c r="I37" s="117" t="inlineStr">
        <is>
          <t>PAC mensile</t>
        </is>
      </c>
      <c r="J37" s="123">
        <f>IF(B37="","",IF(F37&lt;&gt;"",N(F37),ROUND(N(D37)*N(E37),2)))</f>
        <v>385.4</v>
      </c>
      <c r="K37" s="123">
        <f>IF(B37="","",IF(H37&lt;&gt;"",N(H37),IF(B37="Dividendo",ROUND(J37*IFERROR(INDEX(Calcoli!$V$7:$V$21,MATCH(C37,Calcoli!$A$7:$A$21,0)),0.26),2),IF(B37="Vendita",ROUND(MAX(0,U37)*IFERROR(INDEX(Calcoli!$V$7:$V$21,MATCH(C37,Calcoli!$A$7:$A$21,0)),0.26),2),0))))</f>
        <v>0</v>
      </c>
      <c r="L37" s="135">
        <f>IF(B37="","",IF(B37="Acquisto",-(J37+N(G37)),J37-N(G37)-K37))</f>
        <v>-386.4</v>
      </c>
      <c r="M37" s="127" t="str">
        <f>IF(B37="","",IF(ISNA(MATCH(C37,ETF!$A$7:$A$21,0)),"ETF?",IF(NOT(ISNUMBER(A37)),"Data?",IF(AND(B37&lt;&gt;"Dividendo",N(D37)&lt;=0),"Quote?",IF(AND(B37="Vendita",N(D37)&gt;N(Q37)+0.000001),"Quote?",IF(J37&lt;=0,"Importo?","✓"))))))</f>
        <v>✓</v>
      </c>
      <c r="N37">
        <f>IF(OR(B37="Acquisto",B37="Vendita"),COUNTIFS($C$5:C37,C37,$B$5:B37,"Acquisto")+COUNTIFS($C$5:C37,C37,$B$5:B37,"Vendita"),"")</f>
        <v>9</v>
      </c>
      <c r="O37" t="str">
        <f>IF(N37="","",C37&amp;"|"&amp;N37)</f>
        <v>Azionario Mondo|9</v>
      </c>
      <c r="P37">
        <f>IF(N37="","",IF(N37=1,0,MATCH(C37&amp;"|"&amp;(N37-1),$O$5:$O$1004,0)))</f>
        <v>29</v>
      </c>
      <c r="Q37">
        <f>IF(N37="","",IF(P37=0,SUMIFS(Calcoli!$C$7:$C$21,Calcoli!$A$7:$A$21,C37),INDEX($S$5:$S$1004,P37)))</f>
        <v>62</v>
      </c>
      <c r="R37">
        <f>IF(N37="","",IF(P37=0,SUMIFS(Calcoli!$D$7:$D$21,Calcoli!$A$7:$A$21,C37),INDEX($T$5:$T$1004,P37)))</f>
        <v>5595.09</v>
      </c>
      <c r="S37">
        <f>IF(N37="","",IF(B37="Acquisto",Q37+N(D37),MAX(0,Q37-N(D37))))</f>
        <v>66</v>
      </c>
      <c r="T37">
        <f>IF(N37="","",IF(B37="Acquisto",R37+J37+N(G37),IF(Q37&lt;=0,0,R37*(1-MIN(1,N(D37)/Q37)))))</f>
        <v>5981.49</v>
      </c>
      <c r="U37" t="str">
        <f>IF(B37&lt;&gt;"Vendita","",J37-N(G37)-IF(Q37&lt;=0,0,R37*MIN(1,N(D37)/Q37)))</f>
        <v/>
      </c>
      <c r="V37" t="str">
        <f>IF(B37&lt;&gt;"Dividendo","",IF(Calcoli!$B$251=1,J37,L37))</f>
        <v/>
      </c>
      <c r="W37" t="str">
        <f>IF(AND(V37&lt;&gt;"",ISNUMBER(A37)),A37,"")</f>
        <v/>
      </c>
    </row>
    <row r="38">
      <c r="A38" s="134" t="n">
        <v>45966</v>
      </c>
      <c r="B38" s="116" t="inlineStr">
        <is>
          <t>Acquisto</t>
        </is>
      </c>
      <c r="C38" s="116" t="inlineStr">
        <is>
          <t>Azionario Mondo</t>
        </is>
      </c>
      <c r="D38" s="121" t="n">
        <v>3</v>
      </c>
      <c r="E38" s="120" t="n">
        <v>101.55</v>
      </c>
      <c r="F38" s="120" t="n"/>
      <c r="G38" s="120" t="n">
        <v>1</v>
      </c>
      <c r="H38" s="120" t="n"/>
      <c r="I38" s="117" t="inlineStr">
        <is>
          <t>PAC mensile</t>
        </is>
      </c>
      <c r="J38" s="123">
        <f>IF(B38="","",IF(F38&lt;&gt;"",N(F38),ROUND(N(D38)*N(E38),2)))</f>
        <v>304.65</v>
      </c>
      <c r="K38" s="123">
        <f>IF(B38="","",IF(H38&lt;&gt;"",N(H38),IF(B38="Dividendo",ROUND(J38*IFERROR(INDEX(Calcoli!$V$7:$V$21,MATCH(C38,Calcoli!$A$7:$A$21,0)),0.26),2),IF(B38="Vendita",ROUND(MAX(0,U38)*IFERROR(INDEX(Calcoli!$V$7:$V$21,MATCH(C38,Calcoli!$A$7:$A$21,0)),0.26),2),0))))</f>
        <v>0</v>
      </c>
      <c r="L38" s="135">
        <f>IF(B38="","",IF(B38="Acquisto",-(J38+N(G38)),J38-N(G38)-K38))</f>
        <v>-305.65</v>
      </c>
      <c r="M38" s="127" t="str">
        <f>IF(B38="","",IF(ISNA(MATCH(C38,ETF!$A$7:$A$21,0)),"ETF?",IF(NOT(ISNUMBER(A38)),"Data?",IF(AND(B38&lt;&gt;"Dividendo",N(D38)&lt;=0),"Quote?",IF(AND(B38="Vendita",N(D38)&gt;N(Q38)+0.000001),"Quote?",IF(J38&lt;=0,"Importo?","✓"))))))</f>
        <v>✓</v>
      </c>
      <c r="N38">
        <f>IF(OR(B38="Acquisto",B38="Vendita"),COUNTIFS($C$5:C38,C38,$B$5:B38,"Acquisto")+COUNTIFS($C$5:C38,C38,$B$5:B38,"Vendita"),"")</f>
        <v>10</v>
      </c>
      <c r="O38" t="str">
        <f>IF(N38="","",C38&amp;"|"&amp;N38)</f>
        <v>Azionario Mondo|10</v>
      </c>
      <c r="P38">
        <f>IF(N38="","",IF(N38=1,0,MATCH(C38&amp;"|"&amp;(N38-1),$O$5:$O$1004,0)))</f>
        <v>33</v>
      </c>
      <c r="Q38">
        <f>IF(N38="","",IF(P38=0,SUMIFS(Calcoli!$C$7:$C$21,Calcoli!$A$7:$A$21,C38),INDEX($S$5:$S$1004,P38)))</f>
        <v>66</v>
      </c>
      <c r="R38">
        <f>IF(N38="","",IF(P38=0,SUMIFS(Calcoli!$D$7:$D$21,Calcoli!$A$7:$A$21,C38),INDEX($T$5:$T$1004,P38)))</f>
        <v>5981.49</v>
      </c>
      <c r="S38">
        <f>IF(N38="","",IF(B38="Acquisto",Q38+N(D38),MAX(0,Q38-N(D38))))</f>
        <v>69</v>
      </c>
      <c r="T38">
        <f>IF(N38="","",IF(B38="Acquisto",R38+J38+N(G38),IF(Q38&lt;=0,0,R38*(1-MIN(1,N(D38)/Q38)))))</f>
        <v>6287.14</v>
      </c>
      <c r="U38" t="str">
        <f>IF(B38&lt;&gt;"Vendita","",J38-N(G38)-IF(Q38&lt;=0,0,R38*MIN(1,N(D38)/Q38)))</f>
        <v/>
      </c>
      <c r="V38" t="str">
        <f>IF(B38&lt;&gt;"Dividendo","",IF(Calcoli!$B$251=1,J38,L38))</f>
        <v/>
      </c>
      <c r="W38" t="str">
        <f>IF(AND(V38&lt;&gt;"",ISNUMBER(A38)),A38,"")</f>
        <v/>
      </c>
    </row>
    <row r="39">
      <c r="A39" s="134" t="n">
        <v>45966</v>
      </c>
      <c r="B39" s="116" t="inlineStr">
        <is>
          <t>Acquisto</t>
        </is>
      </c>
      <c r="C39" s="116" t="inlineStr">
        <is>
          <t>Oro</t>
        </is>
      </c>
      <c r="D39" s="121" t="n">
        <v>1</v>
      </c>
      <c r="E39" s="120" t="n">
        <v>78.05</v>
      </c>
      <c r="F39" s="120" t="n"/>
      <c r="G39" s="120" t="n">
        <v>1</v>
      </c>
      <c r="H39" s="120" t="n"/>
      <c r="I39" s="117" t="inlineStr">
        <is>
          <t>PAC mensile</t>
        </is>
      </c>
      <c r="J39" s="123">
        <f>IF(B39="","",IF(F39&lt;&gt;"",N(F39),ROUND(N(D39)*N(E39),2)))</f>
        <v>78.05</v>
      </c>
      <c r="K39" s="123">
        <f>IF(B39="","",IF(H39&lt;&gt;"",N(H39),IF(B39="Dividendo",ROUND(J39*IFERROR(INDEX(Calcoli!$V$7:$V$21,MATCH(C39,Calcoli!$A$7:$A$21,0)),0.26),2),IF(B39="Vendita",ROUND(MAX(0,U39)*IFERROR(INDEX(Calcoli!$V$7:$V$21,MATCH(C39,Calcoli!$A$7:$A$21,0)),0.26),2),0))))</f>
        <v>0</v>
      </c>
      <c r="L39" s="135">
        <f>IF(B39="","",IF(B39="Acquisto",-(J39+N(G39)),J39-N(G39)-K39))</f>
        <v>-79.05</v>
      </c>
      <c r="M39" s="127" t="str">
        <f>IF(B39="","",IF(ISNA(MATCH(C39,ETF!$A$7:$A$21,0)),"ETF?",IF(NOT(ISNUMBER(A39)),"Data?",IF(AND(B39&lt;&gt;"Dividendo",N(D39)&lt;=0),"Quote?",IF(AND(B39="Vendita",N(D39)&gt;N(Q39)+0.000001),"Quote?",IF(J39&lt;=0,"Importo?","✓"))))))</f>
        <v>✓</v>
      </c>
      <c r="N39">
        <f>IF(OR(B39="Acquisto",B39="Vendita"),COUNTIFS($C$5:C39,C39,$B$5:B39,"Acquisto")+COUNTIFS($C$5:C39,C39,$B$5:B39,"Vendita"),"")</f>
        <v>9</v>
      </c>
      <c r="O39" t="str">
        <f>IF(N39="","",C39&amp;"|"&amp;N39)</f>
        <v>Oro|9</v>
      </c>
      <c r="P39">
        <f>IF(N39="","",IF(N39=1,0,MATCH(C39&amp;"|"&amp;(N39-1),$O$5:$O$1004,0)))</f>
        <v>31</v>
      </c>
      <c r="Q39">
        <f>IF(N39="","",IF(P39=0,SUMIFS(Calcoli!$C$7:$C$21,Calcoli!$A$7:$A$21,C39),INDEX($S$5:$S$1004,P39)))</f>
        <v>15</v>
      </c>
      <c r="R39">
        <f>IF(N39="","",IF(P39=0,SUMIFS(Calcoli!$D$7:$D$21,Calcoli!$A$7:$A$21,C39),INDEX($T$5:$T$1004,P39)))</f>
        <v>901.35</v>
      </c>
      <c r="S39">
        <f>IF(N39="","",IF(B39="Acquisto",Q39+N(D39),MAX(0,Q39-N(D39))))</f>
        <v>16</v>
      </c>
      <c r="T39">
        <f>IF(N39="","",IF(B39="Acquisto",R39+J39+N(G39),IF(Q39&lt;=0,0,R39*(1-MIN(1,N(D39)/Q39)))))</f>
        <v>980.4</v>
      </c>
      <c r="U39" t="str">
        <f>IF(B39&lt;&gt;"Vendita","",J39-N(G39)-IF(Q39&lt;=0,0,R39*MIN(1,N(D39)/Q39)))</f>
        <v/>
      </c>
      <c r="V39" t="str">
        <f>IF(B39&lt;&gt;"Dividendo","",IF(Calcoli!$B$251=1,J39,L39))</f>
        <v/>
      </c>
      <c r="W39" t="str">
        <f>IF(AND(V39&lt;&gt;"",ISNUMBER(A39)),A39,"")</f>
        <v/>
      </c>
    </row>
    <row r="40">
      <c r="A40" s="134" t="n">
        <v>45996</v>
      </c>
      <c r="B40" s="116" t="inlineStr">
        <is>
          <t>Acquisto</t>
        </is>
      </c>
      <c r="C40" s="116" t="inlineStr">
        <is>
          <t>Azionario Mondo</t>
        </is>
      </c>
      <c r="D40" s="121" t="n">
        <v>1</v>
      </c>
      <c r="E40" s="120" t="n">
        <v>105.36</v>
      </c>
      <c r="F40" s="120" t="n"/>
      <c r="G40" s="120" t="n">
        <v>1</v>
      </c>
      <c r="H40" s="120" t="n"/>
      <c r="I40" s="117" t="inlineStr">
        <is>
          <t>PAC mensile</t>
        </is>
      </c>
      <c r="J40" s="123">
        <f>IF(B40="","",IF(F40&lt;&gt;"",N(F40),ROUND(N(D40)*N(E40),2)))</f>
        <v>105.36</v>
      </c>
      <c r="K40" s="123">
        <f>IF(B40="","",IF(H40&lt;&gt;"",N(H40),IF(B40="Dividendo",ROUND(J40*IFERROR(INDEX(Calcoli!$V$7:$V$21,MATCH(C40,Calcoli!$A$7:$A$21,0)),0.26),2),IF(B40="Vendita",ROUND(MAX(0,U40)*IFERROR(INDEX(Calcoli!$V$7:$V$21,MATCH(C40,Calcoli!$A$7:$A$21,0)),0.26),2),0))))</f>
        <v>0</v>
      </c>
      <c r="L40" s="135">
        <f>IF(B40="","",IF(B40="Acquisto",-(J40+N(G40)),J40-N(G40)-K40))</f>
        <v>-106.36</v>
      </c>
      <c r="M40" s="127" t="str">
        <f>IF(B40="","",IF(ISNA(MATCH(C40,ETF!$A$7:$A$21,0)),"ETF?",IF(NOT(ISNUMBER(A40)),"Data?",IF(AND(B40&lt;&gt;"Dividendo",N(D40)&lt;=0),"Quote?",IF(AND(B40="Vendita",N(D40)&gt;N(Q40)+0.000001),"Quote?",IF(J40&lt;=0,"Importo?","✓"))))))</f>
        <v>✓</v>
      </c>
      <c r="N40">
        <f>IF(OR(B40="Acquisto",B40="Vendita"),COUNTIFS($C$5:C40,C40,$B$5:B40,"Acquisto")+COUNTIFS($C$5:C40,C40,$B$5:B40,"Vendita"),"")</f>
        <v>11</v>
      </c>
      <c r="O40" t="str">
        <f>IF(N40="","",C40&amp;"|"&amp;N40)</f>
        <v>Azionario Mondo|11</v>
      </c>
      <c r="P40">
        <f>IF(N40="","",IF(N40=1,0,MATCH(C40&amp;"|"&amp;(N40-1),$O$5:$O$1004,0)))</f>
        <v>34</v>
      </c>
      <c r="Q40">
        <f>IF(N40="","",IF(P40=0,SUMIFS(Calcoli!$C$7:$C$21,Calcoli!$A$7:$A$21,C40),INDEX($S$5:$S$1004,P40)))</f>
        <v>69</v>
      </c>
      <c r="R40">
        <f>IF(N40="","",IF(P40=0,SUMIFS(Calcoli!$D$7:$D$21,Calcoli!$A$7:$A$21,C40),INDEX($T$5:$T$1004,P40)))</f>
        <v>6287.14</v>
      </c>
      <c r="S40">
        <f>IF(N40="","",IF(B40="Acquisto",Q40+N(D40),MAX(0,Q40-N(D40))))</f>
        <v>70</v>
      </c>
      <c r="T40">
        <f>IF(N40="","",IF(B40="Acquisto",R40+J40+N(G40),IF(Q40&lt;=0,0,R40*(1-MIN(1,N(D40)/Q40)))))</f>
        <v>6393.5</v>
      </c>
      <c r="U40" t="str">
        <f>IF(B40&lt;&gt;"Vendita","",J40-N(G40)-IF(Q40&lt;=0,0,R40*MIN(1,N(D40)/Q40)))</f>
        <v/>
      </c>
      <c r="V40" t="str">
        <f>IF(B40&lt;&gt;"Dividendo","",IF(Calcoli!$B$251=1,J40,L40))</f>
        <v/>
      </c>
      <c r="W40" t="str">
        <f>IF(AND(V40&lt;&gt;"",ISNUMBER(A40)),A40,"")</f>
        <v/>
      </c>
    </row>
    <row r="41">
      <c r="A41" s="134" t="n">
        <v>45996</v>
      </c>
      <c r="B41" s="116" t="inlineStr">
        <is>
          <t>Acquisto</t>
        </is>
      </c>
      <c r="C41" s="116" t="inlineStr">
        <is>
          <t>Azionario Emergenti</t>
        </is>
      </c>
      <c r="D41" s="121" t="n">
        <v>1</v>
      </c>
      <c r="E41" s="120" t="n">
        <v>44.05</v>
      </c>
      <c r="F41" s="120" t="n"/>
      <c r="G41" s="120" t="n">
        <v>1</v>
      </c>
      <c r="H41" s="120" t="n"/>
      <c r="I41" s="117" t="inlineStr">
        <is>
          <t>PAC mensile</t>
        </is>
      </c>
      <c r="J41" s="123">
        <f>IF(B41="","",IF(F41&lt;&gt;"",N(F41),ROUND(N(D41)*N(E41),2)))</f>
        <v>44.05</v>
      </c>
      <c r="K41" s="123">
        <f>IF(B41="","",IF(H41&lt;&gt;"",N(H41),IF(B41="Dividendo",ROUND(J41*IFERROR(INDEX(Calcoli!$V$7:$V$21,MATCH(C41,Calcoli!$A$7:$A$21,0)),0.26),2),IF(B41="Vendita",ROUND(MAX(0,U41)*IFERROR(INDEX(Calcoli!$V$7:$V$21,MATCH(C41,Calcoli!$A$7:$A$21,0)),0.26),2),0))))</f>
        <v>0</v>
      </c>
      <c r="L41" s="135">
        <f>IF(B41="","",IF(B41="Acquisto",-(J41+N(G41)),J41-N(G41)-K41))</f>
        <v>-45.05</v>
      </c>
      <c r="M41" s="127" t="str">
        <f>IF(B41="","",IF(ISNA(MATCH(C41,ETF!$A$7:$A$21,0)),"ETF?",IF(NOT(ISNUMBER(A41)),"Data?",IF(AND(B41&lt;&gt;"Dividendo",N(D41)&lt;=0),"Quote?",IF(AND(B41="Vendita",N(D41)&gt;N(Q41)+0.000001),"Quote?",IF(J41&lt;=0,"Importo?","✓"))))))</f>
        <v>✓</v>
      </c>
      <c r="N41">
        <f>IF(OR(B41="Acquisto",B41="Vendita"),COUNTIFS($C$5:C41,C41,$B$5:B41,"Acquisto")+COUNTIFS($C$5:C41,C41,$B$5:B41,"Vendita"),"")</f>
        <v>11</v>
      </c>
      <c r="O41" t="str">
        <f>IF(N41="","",C41&amp;"|"&amp;N41)</f>
        <v>Azionario Emergenti|11</v>
      </c>
      <c r="P41">
        <f>IF(N41="","",IF(N41=1,0,MATCH(C41&amp;"|"&amp;(N41-1),$O$5:$O$1004,0)))</f>
        <v>30</v>
      </c>
      <c r="Q41">
        <f>IF(N41="","",IF(P41=0,SUMIFS(Calcoli!$C$7:$C$21,Calcoli!$A$7:$A$21,C41),INDEX($S$5:$S$1004,P41)))</f>
        <v>28</v>
      </c>
      <c r="R41">
        <f>IF(N41="","",IF(P41=0,SUMIFS(Calcoli!$D$7:$D$21,Calcoli!$A$7:$A$21,C41),INDEX($T$5:$T$1004,P41)))</f>
        <v>1189.6</v>
      </c>
      <c r="S41">
        <f>IF(N41="","",IF(B41="Acquisto",Q41+N(D41),MAX(0,Q41-N(D41))))</f>
        <v>29</v>
      </c>
      <c r="T41">
        <f>IF(N41="","",IF(B41="Acquisto",R41+J41+N(G41),IF(Q41&lt;=0,0,R41*(1-MIN(1,N(D41)/Q41)))))</f>
        <v>1234.65</v>
      </c>
      <c r="U41" t="str">
        <f>IF(B41&lt;&gt;"Vendita","",J41-N(G41)-IF(Q41&lt;=0,0,R41*MIN(1,N(D41)/Q41)))</f>
        <v/>
      </c>
      <c r="V41" t="str">
        <f>IF(B41&lt;&gt;"Dividendo","",IF(Calcoli!$B$251=1,J41,L41))</f>
        <v/>
      </c>
      <c r="W41" t="str">
        <f>IF(AND(V41&lt;&gt;"",ISNUMBER(A41)),A41,"")</f>
        <v/>
      </c>
    </row>
    <row r="42">
      <c r="A42" s="134" t="n">
        <v>45996</v>
      </c>
      <c r="B42" s="116" t="inlineStr">
        <is>
          <t>Acquisto</t>
        </is>
      </c>
      <c r="C42" s="116" t="inlineStr">
        <is>
          <t>Titoli di Stato Euro</t>
        </is>
      </c>
      <c r="D42" s="121" t="n">
        <v>2</v>
      </c>
      <c r="E42" s="120" t="n">
        <v>103.7</v>
      </c>
      <c r="F42" s="120" t="n"/>
      <c r="G42" s="120" t="n">
        <v>1</v>
      </c>
      <c r="H42" s="120" t="n"/>
      <c r="I42" s="117" t="inlineStr">
        <is>
          <t>PAC mensile</t>
        </is>
      </c>
      <c r="J42" s="123">
        <f>IF(B42="","",IF(F42&lt;&gt;"",N(F42),ROUND(N(D42)*N(E42),2)))</f>
        <v>207.4</v>
      </c>
      <c r="K42" s="123">
        <f>IF(B42="","",IF(H42&lt;&gt;"",N(H42),IF(B42="Dividendo",ROUND(J42*IFERROR(INDEX(Calcoli!$V$7:$V$21,MATCH(C42,Calcoli!$A$7:$A$21,0)),0.26),2),IF(B42="Vendita",ROUND(MAX(0,U42)*IFERROR(INDEX(Calcoli!$V$7:$V$21,MATCH(C42,Calcoli!$A$7:$A$21,0)),0.26),2),0))))</f>
        <v>0</v>
      </c>
      <c r="L42" s="135">
        <f>IF(B42="","",IF(B42="Acquisto",-(J42+N(G42)),J42-N(G42)-K42))</f>
        <v>-208.4</v>
      </c>
      <c r="M42" s="127" t="str">
        <f>IF(B42="","",IF(ISNA(MATCH(C42,ETF!$A$7:$A$21,0)),"ETF?",IF(NOT(ISNUMBER(A42)),"Data?",IF(AND(B42&lt;&gt;"Dividendo",N(D42)&lt;=0),"Quote?",IF(AND(B42="Vendita",N(D42)&gt;N(Q42)+0.000001),"Quote?",IF(J42&lt;=0,"Importo?","✓"))))))</f>
        <v>✓</v>
      </c>
      <c r="N42">
        <f>IF(OR(B42="Acquisto",B42="Vendita"),COUNTIFS($C$5:C42,C42,$B$5:B42,"Acquisto")+COUNTIFS($C$5:C42,C42,$B$5:B42,"Vendita"),"")</f>
        <v>1</v>
      </c>
      <c r="O42" t="str">
        <f>IF(N42="","",C42&amp;"|"&amp;N42)</f>
        <v>Titoli di Stato Euro|1</v>
      </c>
      <c r="P42">
        <f>IF(N42="","",IF(N42=1,0,MATCH(C42&amp;"|"&amp;(N42-1),$O$5:$O$1004,0)))</f>
        <v>0</v>
      </c>
      <c r="Q42">
        <f>IF(N42="","",IF(P42=0,SUMIFS(Calcoli!$C$7:$C$21,Calcoli!$A$7:$A$21,C42),INDEX($S$5:$S$1004,P42)))</f>
        <v>30</v>
      </c>
      <c r="R42">
        <f>IF(N42="","",IF(P42=0,SUMIFS(Calcoli!$D$7:$D$21,Calcoli!$A$7:$A$21,C42),INDEX($T$5:$T$1004,P42)))</f>
        <v>2973</v>
      </c>
      <c r="S42">
        <f>IF(N42="","",IF(B42="Acquisto",Q42+N(D42),MAX(0,Q42-N(D42))))</f>
        <v>32</v>
      </c>
      <c r="T42">
        <f>IF(N42="","",IF(B42="Acquisto",R42+J42+N(G42),IF(Q42&lt;=0,0,R42*(1-MIN(1,N(D42)/Q42)))))</f>
        <v>3181.4</v>
      </c>
      <c r="U42" t="str">
        <f>IF(B42&lt;&gt;"Vendita","",J42-N(G42)-IF(Q42&lt;=0,0,R42*MIN(1,N(D42)/Q42)))</f>
        <v/>
      </c>
      <c r="V42" t="str">
        <f>IF(B42&lt;&gt;"Dividendo","",IF(Calcoli!$B$251=1,J42,L42))</f>
        <v/>
      </c>
      <c r="W42" t="str">
        <f>IF(AND(V42&lt;&gt;"",ISNUMBER(A42)),A42,"")</f>
        <v/>
      </c>
    </row>
    <row r="43">
      <c r="A43" s="134" t="n">
        <v>46011</v>
      </c>
      <c r="B43" s="116" t="inlineStr">
        <is>
          <t>Dividendo</t>
        </is>
      </c>
      <c r="C43" s="116" t="inlineStr">
        <is>
          <t>Titoli di Stato Euro</t>
        </is>
      </c>
      <c r="D43" s="121" t="n">
        <v>32</v>
      </c>
      <c r="E43" s="120" t="n"/>
      <c r="F43" s="120" t="n">
        <v>19.84</v>
      </c>
      <c r="G43" s="120" t="n"/>
      <c r="H43" s="120" t="n"/>
      <c r="I43" s="117" t="inlineStr">
        <is>
          <t>Cedola semestrale</t>
        </is>
      </c>
      <c r="J43" s="123">
        <f>IF(B43="","",IF(F43&lt;&gt;"",N(F43),ROUND(N(D43)*N(E43),2)))</f>
        <v>19.84</v>
      </c>
      <c r="K43" s="123">
        <f>IF(B43="","",IF(H43&lt;&gt;"",N(H43),IF(B43="Dividendo",ROUND(J43*IFERROR(INDEX(Calcoli!$V$7:$V$21,MATCH(C43,Calcoli!$A$7:$A$21,0)),0.26),2),IF(B43="Vendita",ROUND(MAX(0,U43)*IFERROR(INDEX(Calcoli!$V$7:$V$21,MATCH(C43,Calcoli!$A$7:$A$21,0)),0.26),2),0))))</f>
        <v>2.48</v>
      </c>
      <c r="L43" s="135">
        <f>IF(B43="","",IF(B43="Acquisto",-(J43+N(G43)),J43-N(G43)-K43))</f>
        <v>17.36</v>
      </c>
      <c r="M43" s="127" t="str">
        <f>IF(B43="","",IF(ISNA(MATCH(C43,ETF!$A$7:$A$21,0)),"ETF?",IF(NOT(ISNUMBER(A43)),"Data?",IF(AND(B43&lt;&gt;"Dividendo",N(D43)&lt;=0),"Quote?",IF(AND(B43="Vendita",N(D43)&gt;N(Q43)+0.000001),"Quote?",IF(J43&lt;=0,"Importo?","✓"))))))</f>
        <v>✓</v>
      </c>
      <c r="N43" t="str">
        <f>IF(OR(B43="Acquisto",B43="Vendita"),COUNTIFS($C$5:C43,C43,$B$5:B43,"Acquisto")+COUNTIFS($C$5:C43,C43,$B$5:B43,"Vendita"),"")</f>
        <v/>
      </c>
      <c r="O43" t="str">
        <f>IF(N43="","",C43&amp;"|"&amp;N43)</f>
        <v/>
      </c>
      <c r="P43" t="str">
        <f>IF(N43="","",IF(N43=1,0,MATCH(C43&amp;"|"&amp;(N43-1),$O$5:$O$1004,0)))</f>
        <v/>
      </c>
      <c r="Q43" t="str">
        <f>IF(N43="","",IF(P43=0,SUMIFS(Calcoli!$C$7:$C$21,Calcoli!$A$7:$A$21,C43),INDEX($S$5:$S$1004,P43)))</f>
        <v/>
      </c>
      <c r="R43" t="str">
        <f>IF(N43="","",IF(P43=0,SUMIFS(Calcoli!$D$7:$D$21,Calcoli!$A$7:$A$21,C43),INDEX($T$5:$T$1004,P43)))</f>
        <v/>
      </c>
      <c r="S43" t="str">
        <f>IF(N43="","",IF(B43="Acquisto",Q43+N(D43),MAX(0,Q43-N(D43))))</f>
        <v/>
      </c>
      <c r="T43" t="str">
        <f>IF(N43="","",IF(B43="Acquisto",R43+J43+N(G43),IF(Q43&lt;=0,0,R43*(1-MIN(1,N(D43)/Q43)))))</f>
        <v/>
      </c>
      <c r="U43" t="str">
        <f>IF(B43&lt;&gt;"Vendita","",J43-N(G43)-IF(Q43&lt;=0,0,R43*MIN(1,N(D43)/Q43)))</f>
        <v/>
      </c>
      <c r="V43">
        <f>IF(B43&lt;&gt;"Dividendo","",IF(Calcoli!$B$251=1,J43,L43))</f>
        <v>17.36</v>
      </c>
      <c r="W43">
        <f>IF(AND(V43&lt;&gt;"",ISNUMBER(A43)),A43,"")</f>
        <v>46011.0</v>
      </c>
    </row>
    <row r="44">
      <c r="A44" s="134" t="n">
        <v>46016</v>
      </c>
      <c r="B44" s="116" t="inlineStr">
        <is>
          <t>Dividendo</t>
        </is>
      </c>
      <c r="C44" s="116" t="inlineStr">
        <is>
          <t>Azionario Emergenti</t>
        </is>
      </c>
      <c r="D44" s="121" t="n">
        <v>29</v>
      </c>
      <c r="E44" s="120" t="n"/>
      <c r="F44" s="120" t="n">
        <v>6.96</v>
      </c>
      <c r="G44" s="120" t="n"/>
      <c r="H44" s="120" t="n"/>
      <c r="I44" s="117" t="inlineStr">
        <is>
          <t>Dividendo trimestrale</t>
        </is>
      </c>
      <c r="J44" s="123">
        <f>IF(B44="","",IF(F44&lt;&gt;"",N(F44),ROUND(N(D44)*N(E44),2)))</f>
        <v>6.96</v>
      </c>
      <c r="K44" s="123">
        <f>IF(B44="","",IF(H44&lt;&gt;"",N(H44),IF(B44="Dividendo",ROUND(J44*IFERROR(INDEX(Calcoli!$V$7:$V$21,MATCH(C44,Calcoli!$A$7:$A$21,0)),0.26),2),IF(B44="Vendita",ROUND(MAX(0,U44)*IFERROR(INDEX(Calcoli!$V$7:$V$21,MATCH(C44,Calcoli!$A$7:$A$21,0)),0.26),2),0))))</f>
        <v>1.81</v>
      </c>
      <c r="L44" s="135">
        <f>IF(B44="","",IF(B44="Acquisto",-(J44+N(G44)),J44-N(G44)-K44))</f>
        <v>5.15</v>
      </c>
      <c r="M44" s="127" t="str">
        <f>IF(B44="","",IF(ISNA(MATCH(C44,ETF!$A$7:$A$21,0)),"ETF?",IF(NOT(ISNUMBER(A44)),"Data?",IF(AND(B44&lt;&gt;"Dividendo",N(D44)&lt;=0),"Quote?",IF(AND(B44="Vendita",N(D44)&gt;N(Q44)+0.000001),"Quote?",IF(J44&lt;=0,"Importo?","✓"))))))</f>
        <v>✓</v>
      </c>
      <c r="N44" t="str">
        <f>IF(OR(B44="Acquisto",B44="Vendita"),COUNTIFS($C$5:C44,C44,$B$5:B44,"Acquisto")+COUNTIFS($C$5:C44,C44,$B$5:B44,"Vendita"),"")</f>
        <v/>
      </c>
      <c r="O44" t="str">
        <f>IF(N44="","",C44&amp;"|"&amp;N44)</f>
        <v/>
      </c>
      <c r="P44" t="str">
        <f>IF(N44="","",IF(N44=1,0,MATCH(C44&amp;"|"&amp;(N44-1),$O$5:$O$1004,0)))</f>
        <v/>
      </c>
      <c r="Q44" t="str">
        <f>IF(N44="","",IF(P44=0,SUMIFS(Calcoli!$C$7:$C$21,Calcoli!$A$7:$A$21,C44),INDEX($S$5:$S$1004,P44)))</f>
        <v/>
      </c>
      <c r="R44" t="str">
        <f>IF(N44="","",IF(P44=0,SUMIFS(Calcoli!$D$7:$D$21,Calcoli!$A$7:$A$21,C44),INDEX($T$5:$T$1004,P44)))</f>
        <v/>
      </c>
      <c r="S44" t="str">
        <f>IF(N44="","",IF(B44="Acquisto",Q44+N(D44),MAX(0,Q44-N(D44))))</f>
        <v/>
      </c>
      <c r="T44" t="str">
        <f>IF(N44="","",IF(B44="Acquisto",R44+J44+N(G44),IF(Q44&lt;=0,0,R44*(1-MIN(1,N(D44)/Q44)))))</f>
        <v/>
      </c>
      <c r="U44" t="str">
        <f>IF(B44&lt;&gt;"Vendita","",J44-N(G44)-IF(Q44&lt;=0,0,R44*MIN(1,N(D44)/Q44)))</f>
        <v/>
      </c>
      <c r="V44">
        <f>IF(B44&lt;&gt;"Dividendo","",IF(Calcoli!$B$251=1,J44,L44))</f>
        <v>5.15</v>
      </c>
      <c r="W44">
        <f>IF(AND(V44&lt;&gt;"",ISNUMBER(A44)),A44,"")</f>
        <v>46016.0</v>
      </c>
    </row>
    <row r="45">
      <c r="A45" s="134" t="n">
        <v>46027</v>
      </c>
      <c r="B45" s="116" t="inlineStr">
        <is>
          <t>Acquisto</t>
        </is>
      </c>
      <c r="C45" s="116" t="inlineStr">
        <is>
          <t>Azionario Mondo</t>
        </is>
      </c>
      <c r="D45" s="121" t="n">
        <v>2</v>
      </c>
      <c r="E45" s="120" t="n">
        <v>105.88</v>
      </c>
      <c r="F45" s="120" t="n"/>
      <c r="G45" s="120" t="n">
        <v>1</v>
      </c>
      <c r="H45" s="120" t="n"/>
      <c r="I45" s="117" t="inlineStr">
        <is>
          <t>PAC mensile</t>
        </is>
      </c>
      <c r="J45" s="123">
        <f>IF(B45="","",IF(F45&lt;&gt;"",N(F45),ROUND(N(D45)*N(E45),2)))</f>
        <v>211.76</v>
      </c>
      <c r="K45" s="123">
        <f>IF(B45="","",IF(H45&lt;&gt;"",N(H45),IF(B45="Dividendo",ROUND(J45*IFERROR(INDEX(Calcoli!$V$7:$V$21,MATCH(C45,Calcoli!$A$7:$A$21,0)),0.26),2),IF(B45="Vendita",ROUND(MAX(0,U45)*IFERROR(INDEX(Calcoli!$V$7:$V$21,MATCH(C45,Calcoli!$A$7:$A$21,0)),0.26),2),0))))</f>
        <v>0</v>
      </c>
      <c r="L45" s="135">
        <f>IF(B45="","",IF(B45="Acquisto",-(J45+N(G45)),J45-N(G45)-K45))</f>
        <v>-212.76</v>
      </c>
      <c r="M45" s="127" t="str">
        <f>IF(B45="","",IF(ISNA(MATCH(C45,ETF!$A$7:$A$21,0)),"ETF?",IF(NOT(ISNUMBER(A45)),"Data?",IF(AND(B45&lt;&gt;"Dividendo",N(D45)&lt;=0),"Quote?",IF(AND(B45="Vendita",N(D45)&gt;N(Q45)+0.000001),"Quote?",IF(J45&lt;=0,"Importo?","✓"))))))</f>
        <v>✓</v>
      </c>
      <c r="N45">
        <f>IF(OR(B45="Acquisto",B45="Vendita"),COUNTIFS($C$5:C45,C45,$B$5:B45,"Acquisto")+COUNTIFS($C$5:C45,C45,$B$5:B45,"Vendita"),"")</f>
        <v>12</v>
      </c>
      <c r="O45" t="str">
        <f>IF(N45="","",C45&amp;"|"&amp;N45)</f>
        <v>Azionario Mondo|12</v>
      </c>
      <c r="P45">
        <f>IF(N45="","",IF(N45=1,0,MATCH(C45&amp;"|"&amp;(N45-1),$O$5:$O$1004,0)))</f>
        <v>36</v>
      </c>
      <c r="Q45">
        <f>IF(N45="","",IF(P45=0,SUMIFS(Calcoli!$C$7:$C$21,Calcoli!$A$7:$A$21,C45),INDEX($S$5:$S$1004,P45)))</f>
        <v>70</v>
      </c>
      <c r="R45">
        <f>IF(N45="","",IF(P45=0,SUMIFS(Calcoli!$D$7:$D$21,Calcoli!$A$7:$A$21,C45),INDEX($T$5:$T$1004,P45)))</f>
        <v>6393.5</v>
      </c>
      <c r="S45">
        <f>IF(N45="","",IF(B45="Acquisto",Q45+N(D45),MAX(0,Q45-N(D45))))</f>
        <v>72</v>
      </c>
      <c r="T45">
        <f>IF(N45="","",IF(B45="Acquisto",R45+J45+N(G45),IF(Q45&lt;=0,0,R45*(1-MIN(1,N(D45)/Q45)))))</f>
        <v>6606.26</v>
      </c>
      <c r="U45" t="str">
        <f>IF(B45&lt;&gt;"Vendita","",J45-N(G45)-IF(Q45&lt;=0,0,R45*MIN(1,N(D45)/Q45)))</f>
        <v/>
      </c>
      <c r="V45" t="str">
        <f>IF(B45&lt;&gt;"Dividendo","",IF(Calcoli!$B$251=1,J45,L45))</f>
        <v/>
      </c>
      <c r="W45" t="str">
        <f>IF(AND(V45&lt;&gt;"",ISNUMBER(A45)),A45,"")</f>
        <v/>
      </c>
    </row>
    <row r="46">
      <c r="A46" s="134" t="n">
        <v>46027</v>
      </c>
      <c r="B46" s="116" t="inlineStr">
        <is>
          <t>Acquisto</t>
        </is>
      </c>
      <c r="C46" s="116" t="inlineStr">
        <is>
          <t>Azionario Emergenti</t>
        </is>
      </c>
      <c r="D46" s="121" t="n">
        <v>1</v>
      </c>
      <c r="E46" s="120" t="n">
        <v>45.71</v>
      </c>
      <c r="F46" s="120" t="n"/>
      <c r="G46" s="120" t="n">
        <v>1</v>
      </c>
      <c r="H46" s="120" t="n"/>
      <c r="I46" s="117" t="inlineStr">
        <is>
          <t>PAC mensile</t>
        </is>
      </c>
      <c r="J46" s="123">
        <f>IF(B46="","",IF(F46&lt;&gt;"",N(F46),ROUND(N(D46)*N(E46),2)))</f>
        <v>45.71</v>
      </c>
      <c r="K46" s="123">
        <f>IF(B46="","",IF(H46&lt;&gt;"",N(H46),IF(B46="Dividendo",ROUND(J46*IFERROR(INDEX(Calcoli!$V$7:$V$21,MATCH(C46,Calcoli!$A$7:$A$21,0)),0.26),2),IF(B46="Vendita",ROUND(MAX(0,U46)*IFERROR(INDEX(Calcoli!$V$7:$V$21,MATCH(C46,Calcoli!$A$7:$A$21,0)),0.26),2),0))))</f>
        <v>0</v>
      </c>
      <c r="L46" s="135">
        <f>IF(B46="","",IF(B46="Acquisto",-(J46+N(G46)),J46-N(G46)-K46))</f>
        <v>-46.71</v>
      </c>
      <c r="M46" s="127" t="str">
        <f>IF(B46="","",IF(ISNA(MATCH(C46,ETF!$A$7:$A$21,0)),"ETF?",IF(NOT(ISNUMBER(A46)),"Data?",IF(AND(B46&lt;&gt;"Dividendo",N(D46)&lt;=0),"Quote?",IF(AND(B46="Vendita",N(D46)&gt;N(Q46)+0.000001),"Quote?",IF(J46&lt;=0,"Importo?","✓"))))))</f>
        <v>✓</v>
      </c>
      <c r="N46">
        <f>IF(OR(B46="Acquisto",B46="Vendita"),COUNTIFS($C$5:C46,C46,$B$5:B46,"Acquisto")+COUNTIFS($C$5:C46,C46,$B$5:B46,"Vendita"),"")</f>
        <v>12</v>
      </c>
      <c r="O46" t="str">
        <f>IF(N46="","",C46&amp;"|"&amp;N46)</f>
        <v>Azionario Emergenti|12</v>
      </c>
      <c r="P46">
        <f>IF(N46="","",IF(N46=1,0,MATCH(C46&amp;"|"&amp;(N46-1),$O$5:$O$1004,0)))</f>
        <v>37</v>
      </c>
      <c r="Q46">
        <f>IF(N46="","",IF(P46=0,SUMIFS(Calcoli!$C$7:$C$21,Calcoli!$A$7:$A$21,C46),INDEX($S$5:$S$1004,P46)))</f>
        <v>29</v>
      </c>
      <c r="R46">
        <f>IF(N46="","",IF(P46=0,SUMIFS(Calcoli!$D$7:$D$21,Calcoli!$A$7:$A$21,C46),INDEX($T$5:$T$1004,P46)))</f>
        <v>1234.65</v>
      </c>
      <c r="S46">
        <f>IF(N46="","",IF(B46="Acquisto",Q46+N(D46),MAX(0,Q46-N(D46))))</f>
        <v>30</v>
      </c>
      <c r="T46">
        <f>IF(N46="","",IF(B46="Acquisto",R46+J46+N(G46),IF(Q46&lt;=0,0,R46*(1-MIN(1,N(D46)/Q46)))))</f>
        <v>1281.36</v>
      </c>
      <c r="U46" t="str">
        <f>IF(B46&lt;&gt;"Vendita","",J46-N(G46)-IF(Q46&lt;=0,0,R46*MIN(1,N(D46)/Q46)))</f>
        <v/>
      </c>
      <c r="V46" t="str">
        <f>IF(B46&lt;&gt;"Dividendo","",IF(Calcoli!$B$251=1,J46,L46))</f>
        <v/>
      </c>
      <c r="W46" t="str">
        <f>IF(AND(V46&lt;&gt;"",ISNUMBER(A46)),A46,"")</f>
        <v/>
      </c>
    </row>
    <row r="47">
      <c r="A47" s="134" t="n">
        <v>46027</v>
      </c>
      <c r="B47" s="116" t="inlineStr">
        <is>
          <t>Acquisto</t>
        </is>
      </c>
      <c r="C47" s="116" t="inlineStr">
        <is>
          <t>Titoli di Stato Euro</t>
        </is>
      </c>
      <c r="D47" s="121" t="n">
        <v>1</v>
      </c>
      <c r="E47" s="120" t="n">
        <v>104.78</v>
      </c>
      <c r="F47" s="120" t="n"/>
      <c r="G47" s="120" t="n">
        <v>1</v>
      </c>
      <c r="H47" s="120" t="n"/>
      <c r="I47" s="117" t="inlineStr">
        <is>
          <t>PAC mensile</t>
        </is>
      </c>
      <c r="J47" s="123">
        <f>IF(B47="","",IF(F47&lt;&gt;"",N(F47),ROUND(N(D47)*N(E47),2)))</f>
        <v>104.78</v>
      </c>
      <c r="K47" s="123">
        <f>IF(B47="","",IF(H47&lt;&gt;"",N(H47),IF(B47="Dividendo",ROUND(J47*IFERROR(INDEX(Calcoli!$V$7:$V$21,MATCH(C47,Calcoli!$A$7:$A$21,0)),0.26),2),IF(B47="Vendita",ROUND(MAX(0,U47)*IFERROR(INDEX(Calcoli!$V$7:$V$21,MATCH(C47,Calcoli!$A$7:$A$21,0)),0.26),2),0))))</f>
        <v>0</v>
      </c>
      <c r="L47" s="135">
        <f>IF(B47="","",IF(B47="Acquisto",-(J47+N(G47)),J47-N(G47)-K47))</f>
        <v>-105.78</v>
      </c>
      <c r="M47" s="127" t="str">
        <f>IF(B47="","",IF(ISNA(MATCH(C47,ETF!$A$7:$A$21,0)),"ETF?",IF(NOT(ISNUMBER(A47)),"Data?",IF(AND(B47&lt;&gt;"Dividendo",N(D47)&lt;=0),"Quote?",IF(AND(B47="Vendita",N(D47)&gt;N(Q47)+0.000001),"Quote?",IF(J47&lt;=0,"Importo?","✓"))))))</f>
        <v>✓</v>
      </c>
      <c r="N47">
        <f>IF(OR(B47="Acquisto",B47="Vendita"),COUNTIFS($C$5:C47,C47,$B$5:B47,"Acquisto")+COUNTIFS($C$5:C47,C47,$B$5:B47,"Vendita"),"")</f>
        <v>2</v>
      </c>
      <c r="O47" t="str">
        <f>IF(N47="","",C47&amp;"|"&amp;N47)</f>
        <v>Titoli di Stato Euro|2</v>
      </c>
      <c r="P47">
        <f>IF(N47="","",IF(N47=1,0,MATCH(C47&amp;"|"&amp;(N47-1),$O$5:$O$1004,0)))</f>
        <v>38</v>
      </c>
      <c r="Q47">
        <f>IF(N47="","",IF(P47=0,SUMIFS(Calcoli!$C$7:$C$21,Calcoli!$A$7:$A$21,C47),INDEX($S$5:$S$1004,P47)))</f>
        <v>32</v>
      </c>
      <c r="R47">
        <f>IF(N47="","",IF(P47=0,SUMIFS(Calcoli!$D$7:$D$21,Calcoli!$A$7:$A$21,C47),INDEX($T$5:$T$1004,P47)))</f>
        <v>3181.4</v>
      </c>
      <c r="S47">
        <f>IF(N47="","",IF(B47="Acquisto",Q47+N(D47),MAX(0,Q47-N(D47))))</f>
        <v>33</v>
      </c>
      <c r="T47">
        <f>IF(N47="","",IF(B47="Acquisto",R47+J47+N(G47),IF(Q47&lt;=0,0,R47*(1-MIN(1,N(D47)/Q47)))))</f>
        <v>3287.18</v>
      </c>
      <c r="U47" t="str">
        <f>IF(B47&lt;&gt;"Vendita","",J47-N(G47)-IF(Q47&lt;=0,0,R47*MIN(1,N(D47)/Q47)))</f>
        <v/>
      </c>
      <c r="V47" t="str">
        <f>IF(B47&lt;&gt;"Dividendo","",IF(Calcoli!$B$251=1,J47,L47))</f>
        <v/>
      </c>
      <c r="W47" t="str">
        <f>IF(AND(V47&lt;&gt;"",ISNUMBER(A47)),A47,"")</f>
        <v/>
      </c>
    </row>
    <row r="48">
      <c r="A48" s="134" t="n">
        <v>46058</v>
      </c>
      <c r="B48" s="116" t="inlineStr">
        <is>
          <t>Acquisto</t>
        </is>
      </c>
      <c r="C48" s="116" t="inlineStr">
        <is>
          <t>Azionario Mondo</t>
        </is>
      </c>
      <c r="D48" s="121" t="n">
        <v>1</v>
      </c>
      <c r="E48" s="120" t="n">
        <v>105.85</v>
      </c>
      <c r="F48" s="120" t="n"/>
      <c r="G48" s="120" t="n">
        <v>1</v>
      </c>
      <c r="H48" s="120" t="n"/>
      <c r="I48" s="117" t="inlineStr">
        <is>
          <t>PAC mensile</t>
        </is>
      </c>
      <c r="J48" s="123">
        <f>IF(B48="","",IF(F48&lt;&gt;"",N(F48),ROUND(N(D48)*N(E48),2)))</f>
        <v>105.85</v>
      </c>
      <c r="K48" s="123">
        <f>IF(B48="","",IF(H48&lt;&gt;"",N(H48),IF(B48="Dividendo",ROUND(J48*IFERROR(INDEX(Calcoli!$V$7:$V$21,MATCH(C48,Calcoli!$A$7:$A$21,0)),0.26),2),IF(B48="Vendita",ROUND(MAX(0,U48)*IFERROR(INDEX(Calcoli!$V$7:$V$21,MATCH(C48,Calcoli!$A$7:$A$21,0)),0.26),2),0))))</f>
        <v>0</v>
      </c>
      <c r="L48" s="135">
        <f>IF(B48="","",IF(B48="Acquisto",-(J48+N(G48)),J48-N(G48)-K48))</f>
        <v>-106.85</v>
      </c>
      <c r="M48" s="127" t="str">
        <f>IF(B48="","",IF(ISNA(MATCH(C48,ETF!$A$7:$A$21,0)),"ETF?",IF(NOT(ISNUMBER(A48)),"Data?",IF(AND(B48&lt;&gt;"Dividendo",N(D48)&lt;=0),"Quote?",IF(AND(B48="Vendita",N(D48)&gt;N(Q48)+0.000001),"Quote?",IF(J48&lt;=0,"Importo?","✓"))))))</f>
        <v>✓</v>
      </c>
      <c r="N48">
        <f>IF(OR(B48="Acquisto",B48="Vendita"),COUNTIFS($C$5:C48,C48,$B$5:B48,"Acquisto")+COUNTIFS($C$5:C48,C48,$B$5:B48,"Vendita"),"")</f>
        <v>13</v>
      </c>
      <c r="O48" t="str">
        <f>IF(N48="","",C48&amp;"|"&amp;N48)</f>
        <v>Azionario Mondo|13</v>
      </c>
      <c r="P48">
        <f>IF(N48="","",IF(N48=1,0,MATCH(C48&amp;"|"&amp;(N48-1),$O$5:$O$1004,0)))</f>
        <v>41</v>
      </c>
      <c r="Q48">
        <f>IF(N48="","",IF(P48=0,SUMIFS(Calcoli!$C$7:$C$21,Calcoli!$A$7:$A$21,C48),INDEX($S$5:$S$1004,P48)))</f>
        <v>72</v>
      </c>
      <c r="R48">
        <f>IF(N48="","",IF(P48=0,SUMIFS(Calcoli!$D$7:$D$21,Calcoli!$A$7:$A$21,C48),INDEX($T$5:$T$1004,P48)))</f>
        <v>6606.26</v>
      </c>
      <c r="S48">
        <f>IF(N48="","",IF(B48="Acquisto",Q48+N(D48),MAX(0,Q48-N(D48))))</f>
        <v>73</v>
      </c>
      <c r="T48">
        <f>IF(N48="","",IF(B48="Acquisto",R48+J48+N(G48),IF(Q48&lt;=0,0,R48*(1-MIN(1,N(D48)/Q48)))))</f>
        <v>6713.11</v>
      </c>
      <c r="U48" t="str">
        <f>IF(B48&lt;&gt;"Vendita","",J48-N(G48)-IF(Q48&lt;=0,0,R48*MIN(1,N(D48)/Q48)))</f>
        <v/>
      </c>
      <c r="V48" t="str">
        <f>IF(B48&lt;&gt;"Dividendo","",IF(Calcoli!$B$251=1,J48,L48))</f>
        <v/>
      </c>
      <c r="W48" t="str">
        <f>IF(AND(V48&lt;&gt;"",ISNUMBER(A48)),A48,"")</f>
        <v/>
      </c>
    </row>
    <row r="49">
      <c r="A49" s="134" t="n">
        <v>46058</v>
      </c>
      <c r="B49" s="116" t="inlineStr">
        <is>
          <t>Acquisto</t>
        </is>
      </c>
      <c r="C49" s="116" t="inlineStr">
        <is>
          <t>Azionario Emergenti</t>
        </is>
      </c>
      <c r="D49" s="121" t="n">
        <v>2</v>
      </c>
      <c r="E49" s="120" t="n">
        <v>43.47</v>
      </c>
      <c r="F49" s="120" t="n"/>
      <c r="G49" s="120" t="n">
        <v>1</v>
      </c>
      <c r="H49" s="120" t="n"/>
      <c r="I49" s="117" t="inlineStr">
        <is>
          <t>PAC mensile</t>
        </is>
      </c>
      <c r="J49" s="123">
        <f>IF(B49="","",IF(F49&lt;&gt;"",N(F49),ROUND(N(D49)*N(E49),2)))</f>
        <v>86.94</v>
      </c>
      <c r="K49" s="123">
        <f>IF(B49="","",IF(H49&lt;&gt;"",N(H49),IF(B49="Dividendo",ROUND(J49*IFERROR(INDEX(Calcoli!$V$7:$V$21,MATCH(C49,Calcoli!$A$7:$A$21,0)),0.26),2),IF(B49="Vendita",ROUND(MAX(0,U49)*IFERROR(INDEX(Calcoli!$V$7:$V$21,MATCH(C49,Calcoli!$A$7:$A$21,0)),0.26),2),0))))</f>
        <v>0</v>
      </c>
      <c r="L49" s="135">
        <f>IF(B49="","",IF(B49="Acquisto",-(J49+N(G49)),J49-N(G49)-K49))</f>
        <v>-87.94</v>
      </c>
      <c r="M49" s="127" t="str">
        <f>IF(B49="","",IF(ISNA(MATCH(C49,ETF!$A$7:$A$21,0)),"ETF?",IF(NOT(ISNUMBER(A49)),"Data?",IF(AND(B49&lt;&gt;"Dividendo",N(D49)&lt;=0),"Quote?",IF(AND(B49="Vendita",N(D49)&gt;N(Q49)+0.000001),"Quote?",IF(J49&lt;=0,"Importo?","✓"))))))</f>
        <v>✓</v>
      </c>
      <c r="N49">
        <f>IF(OR(B49="Acquisto",B49="Vendita"),COUNTIFS($C$5:C49,C49,$B$5:B49,"Acquisto")+COUNTIFS($C$5:C49,C49,$B$5:B49,"Vendita"),"")</f>
        <v>13</v>
      </c>
      <c r="O49" t="str">
        <f>IF(N49="","",C49&amp;"|"&amp;N49)</f>
        <v>Azionario Emergenti|13</v>
      </c>
      <c r="P49">
        <f>IF(N49="","",IF(N49=1,0,MATCH(C49&amp;"|"&amp;(N49-1),$O$5:$O$1004,0)))</f>
        <v>42</v>
      </c>
      <c r="Q49">
        <f>IF(N49="","",IF(P49=0,SUMIFS(Calcoli!$C$7:$C$21,Calcoli!$A$7:$A$21,C49),INDEX($S$5:$S$1004,P49)))</f>
        <v>30</v>
      </c>
      <c r="R49">
        <f>IF(N49="","",IF(P49=0,SUMIFS(Calcoli!$D$7:$D$21,Calcoli!$A$7:$A$21,C49),INDEX($T$5:$T$1004,P49)))</f>
        <v>1281.36</v>
      </c>
      <c r="S49">
        <f>IF(N49="","",IF(B49="Acquisto",Q49+N(D49),MAX(0,Q49-N(D49))))</f>
        <v>32</v>
      </c>
      <c r="T49">
        <f>IF(N49="","",IF(B49="Acquisto",R49+J49+N(G49),IF(Q49&lt;=0,0,R49*(1-MIN(1,N(D49)/Q49)))))</f>
        <v>1369.3</v>
      </c>
      <c r="U49" t="str">
        <f>IF(B49&lt;&gt;"Vendita","",J49-N(G49)-IF(Q49&lt;=0,0,R49*MIN(1,N(D49)/Q49)))</f>
        <v/>
      </c>
      <c r="V49" t="str">
        <f>IF(B49&lt;&gt;"Dividendo","",IF(Calcoli!$B$251=1,J49,L49))</f>
        <v/>
      </c>
      <c r="W49" t="str">
        <f>IF(AND(V49&lt;&gt;"",ISNUMBER(A49)),A49,"")</f>
        <v/>
      </c>
    </row>
    <row r="50">
      <c r="A50" s="134" t="n">
        <v>46058</v>
      </c>
      <c r="B50" s="116" t="inlineStr">
        <is>
          <t>Acquisto</t>
        </is>
      </c>
      <c r="C50" s="116" t="inlineStr">
        <is>
          <t>Titoli di Stato Euro</t>
        </is>
      </c>
      <c r="D50" s="121" t="n">
        <v>1</v>
      </c>
      <c r="E50" s="120" t="n">
        <v>104.59</v>
      </c>
      <c r="F50" s="120" t="n"/>
      <c r="G50" s="120" t="n">
        <v>1</v>
      </c>
      <c r="H50" s="120" t="n"/>
      <c r="I50" s="117" t="inlineStr">
        <is>
          <t>PAC mensile</t>
        </is>
      </c>
      <c r="J50" s="123">
        <f>IF(B50="","",IF(F50&lt;&gt;"",N(F50),ROUND(N(D50)*N(E50),2)))</f>
        <v>104.59</v>
      </c>
      <c r="K50" s="123">
        <f>IF(B50="","",IF(H50&lt;&gt;"",N(H50),IF(B50="Dividendo",ROUND(J50*IFERROR(INDEX(Calcoli!$V$7:$V$21,MATCH(C50,Calcoli!$A$7:$A$21,0)),0.26),2),IF(B50="Vendita",ROUND(MAX(0,U50)*IFERROR(INDEX(Calcoli!$V$7:$V$21,MATCH(C50,Calcoli!$A$7:$A$21,0)),0.26),2),0))))</f>
        <v>0</v>
      </c>
      <c r="L50" s="135">
        <f>IF(B50="","",IF(B50="Acquisto",-(J50+N(G50)),J50-N(G50)-K50))</f>
        <v>-105.59</v>
      </c>
      <c r="M50" s="127" t="str">
        <f>IF(B50="","",IF(ISNA(MATCH(C50,ETF!$A$7:$A$21,0)),"ETF?",IF(NOT(ISNUMBER(A50)),"Data?",IF(AND(B50&lt;&gt;"Dividendo",N(D50)&lt;=0),"Quote?",IF(AND(B50="Vendita",N(D50)&gt;N(Q50)+0.000001),"Quote?",IF(J50&lt;=0,"Importo?","✓"))))))</f>
        <v>✓</v>
      </c>
      <c r="N50">
        <f>IF(OR(B50="Acquisto",B50="Vendita"),COUNTIFS($C$5:C50,C50,$B$5:B50,"Acquisto")+COUNTIFS($C$5:C50,C50,$B$5:B50,"Vendita"),"")</f>
        <v>3</v>
      </c>
      <c r="O50" t="str">
        <f>IF(N50="","",C50&amp;"|"&amp;N50)</f>
        <v>Titoli di Stato Euro|3</v>
      </c>
      <c r="P50">
        <f>IF(N50="","",IF(N50=1,0,MATCH(C50&amp;"|"&amp;(N50-1),$O$5:$O$1004,0)))</f>
        <v>43</v>
      </c>
      <c r="Q50">
        <f>IF(N50="","",IF(P50=0,SUMIFS(Calcoli!$C$7:$C$21,Calcoli!$A$7:$A$21,C50),INDEX($S$5:$S$1004,P50)))</f>
        <v>33</v>
      </c>
      <c r="R50">
        <f>IF(N50="","",IF(P50=0,SUMIFS(Calcoli!$D$7:$D$21,Calcoli!$A$7:$A$21,C50),INDEX($T$5:$T$1004,P50)))</f>
        <v>3287.18</v>
      </c>
      <c r="S50">
        <f>IF(N50="","",IF(B50="Acquisto",Q50+N(D50),MAX(0,Q50-N(D50))))</f>
        <v>34</v>
      </c>
      <c r="T50">
        <f>IF(N50="","",IF(B50="Acquisto",R50+J50+N(G50),IF(Q50&lt;=0,0,R50*(1-MIN(1,N(D50)/Q50)))))</f>
        <v>3392.77</v>
      </c>
      <c r="U50" t="str">
        <f>IF(B50&lt;&gt;"Vendita","",J50-N(G50)-IF(Q50&lt;=0,0,R50*MIN(1,N(D50)/Q50)))</f>
        <v/>
      </c>
      <c r="V50" t="str">
        <f>IF(B50&lt;&gt;"Dividendo","",IF(Calcoli!$B$251=1,J50,L50))</f>
        <v/>
      </c>
      <c r="W50" t="str">
        <f>IF(AND(V50&lt;&gt;"",ISNUMBER(A50)),A50,"")</f>
        <v/>
      </c>
    </row>
    <row r="51">
      <c r="A51" s="134" t="n">
        <v>46058</v>
      </c>
      <c r="B51" s="116" t="inlineStr">
        <is>
          <t>Acquisto</t>
        </is>
      </c>
      <c r="C51" s="116" t="inlineStr">
        <is>
          <t>Oro</t>
        </is>
      </c>
      <c r="D51" s="121" t="n">
        <v>1</v>
      </c>
      <c r="E51" s="120" t="n">
        <v>82.02</v>
      </c>
      <c r="F51" s="120" t="n"/>
      <c r="G51" s="120" t="n">
        <v>1</v>
      </c>
      <c r="H51" s="120" t="n"/>
      <c r="I51" s="117" t="inlineStr">
        <is>
          <t>PAC mensile</t>
        </is>
      </c>
      <c r="J51" s="123">
        <f>IF(B51="","",IF(F51&lt;&gt;"",N(F51),ROUND(N(D51)*N(E51),2)))</f>
        <v>82.02</v>
      </c>
      <c r="K51" s="123">
        <f>IF(B51="","",IF(H51&lt;&gt;"",N(H51),IF(B51="Dividendo",ROUND(J51*IFERROR(INDEX(Calcoli!$V$7:$V$21,MATCH(C51,Calcoli!$A$7:$A$21,0)),0.26),2),IF(B51="Vendita",ROUND(MAX(0,U51)*IFERROR(INDEX(Calcoli!$V$7:$V$21,MATCH(C51,Calcoli!$A$7:$A$21,0)),0.26),2),0))))</f>
        <v>0</v>
      </c>
      <c r="L51" s="135">
        <f>IF(B51="","",IF(B51="Acquisto",-(J51+N(G51)),J51-N(G51)-K51))</f>
        <v>-83.02</v>
      </c>
      <c r="M51" s="127" t="str">
        <f>IF(B51="","",IF(ISNA(MATCH(C51,ETF!$A$7:$A$21,0)),"ETF?",IF(NOT(ISNUMBER(A51)),"Data?",IF(AND(B51&lt;&gt;"Dividendo",N(D51)&lt;=0),"Quote?",IF(AND(B51="Vendita",N(D51)&gt;N(Q51)+0.000001),"Quote?",IF(J51&lt;=0,"Importo?","✓"))))))</f>
        <v>✓</v>
      </c>
      <c r="N51">
        <f>IF(OR(B51="Acquisto",B51="Vendita"),COUNTIFS($C$5:C51,C51,$B$5:B51,"Acquisto")+COUNTIFS($C$5:C51,C51,$B$5:B51,"Vendita"),"")</f>
        <v>10</v>
      </c>
      <c r="O51" t="str">
        <f>IF(N51="","",C51&amp;"|"&amp;N51)</f>
        <v>Oro|10</v>
      </c>
      <c r="P51">
        <f>IF(N51="","",IF(N51=1,0,MATCH(C51&amp;"|"&amp;(N51-1),$O$5:$O$1004,0)))</f>
        <v>35</v>
      </c>
      <c r="Q51">
        <f>IF(N51="","",IF(P51=0,SUMIFS(Calcoli!$C$7:$C$21,Calcoli!$A$7:$A$21,C51),INDEX($S$5:$S$1004,P51)))</f>
        <v>16</v>
      </c>
      <c r="R51">
        <f>IF(N51="","",IF(P51=0,SUMIFS(Calcoli!$D$7:$D$21,Calcoli!$A$7:$A$21,C51),INDEX($T$5:$T$1004,P51)))</f>
        <v>980.4</v>
      </c>
      <c r="S51">
        <f>IF(N51="","",IF(B51="Acquisto",Q51+N(D51),MAX(0,Q51-N(D51))))</f>
        <v>17</v>
      </c>
      <c r="T51">
        <f>IF(N51="","",IF(B51="Acquisto",R51+J51+N(G51),IF(Q51&lt;=0,0,R51*(1-MIN(1,N(D51)/Q51)))))</f>
        <v>1063.42</v>
      </c>
      <c r="U51" t="str">
        <f>IF(B51&lt;&gt;"Vendita","",J51-N(G51)-IF(Q51&lt;=0,0,R51*MIN(1,N(D51)/Q51)))</f>
        <v/>
      </c>
      <c r="V51" t="str">
        <f>IF(B51&lt;&gt;"Dividendo","",IF(Calcoli!$B$251=1,J51,L51))</f>
        <v/>
      </c>
      <c r="W51" t="str">
        <f>IF(AND(V51&lt;&gt;"",ISNUMBER(A51)),A51,"")</f>
        <v/>
      </c>
    </row>
    <row r="52">
      <c r="A52" s="134" t="n">
        <v>46086</v>
      </c>
      <c r="B52" s="116" t="inlineStr">
        <is>
          <t>Acquisto</t>
        </is>
      </c>
      <c r="C52" s="116" t="inlineStr">
        <is>
          <t>Azionario Emergenti</t>
        </is>
      </c>
      <c r="D52" s="121" t="n">
        <v>3</v>
      </c>
      <c r="E52" s="120" t="n">
        <v>43.14</v>
      </c>
      <c r="F52" s="120" t="n"/>
      <c r="G52" s="120" t="n">
        <v>1</v>
      </c>
      <c r="H52" s="120" t="n"/>
      <c r="I52" s="117" t="inlineStr">
        <is>
          <t>PAC mensile</t>
        </is>
      </c>
      <c r="J52" s="123">
        <f>IF(B52="","",IF(F52&lt;&gt;"",N(F52),ROUND(N(D52)*N(E52),2)))</f>
        <v>129.42</v>
      </c>
      <c r="K52" s="123">
        <f>IF(B52="","",IF(H52&lt;&gt;"",N(H52),IF(B52="Dividendo",ROUND(J52*IFERROR(INDEX(Calcoli!$V$7:$V$21,MATCH(C52,Calcoli!$A$7:$A$21,0)),0.26),2),IF(B52="Vendita",ROUND(MAX(0,U52)*IFERROR(INDEX(Calcoli!$V$7:$V$21,MATCH(C52,Calcoli!$A$7:$A$21,0)),0.26),2),0))))</f>
        <v>0</v>
      </c>
      <c r="L52" s="135">
        <f>IF(B52="","",IF(B52="Acquisto",-(J52+N(G52)),J52-N(G52)-K52))</f>
        <v>-130.42</v>
      </c>
      <c r="M52" s="127" t="str">
        <f>IF(B52="","",IF(ISNA(MATCH(C52,ETF!$A$7:$A$21,0)),"ETF?",IF(NOT(ISNUMBER(A52)),"Data?",IF(AND(B52&lt;&gt;"Dividendo",N(D52)&lt;=0),"Quote?",IF(AND(B52="Vendita",N(D52)&gt;N(Q52)+0.000001),"Quote?",IF(J52&lt;=0,"Importo?","✓"))))))</f>
        <v>✓</v>
      </c>
      <c r="N52">
        <f>IF(OR(B52="Acquisto",B52="Vendita"),COUNTIFS($C$5:C52,C52,$B$5:B52,"Acquisto")+COUNTIFS($C$5:C52,C52,$B$5:B52,"Vendita"),"")</f>
        <v>14</v>
      </c>
      <c r="O52" t="str">
        <f>IF(N52="","",C52&amp;"|"&amp;N52)</f>
        <v>Azionario Emergenti|14</v>
      </c>
      <c r="P52">
        <f>IF(N52="","",IF(N52=1,0,MATCH(C52&amp;"|"&amp;(N52-1),$O$5:$O$1004,0)))</f>
        <v>45</v>
      </c>
      <c r="Q52">
        <f>IF(N52="","",IF(P52=0,SUMIFS(Calcoli!$C$7:$C$21,Calcoli!$A$7:$A$21,C52),INDEX($S$5:$S$1004,P52)))</f>
        <v>32</v>
      </c>
      <c r="R52">
        <f>IF(N52="","",IF(P52=0,SUMIFS(Calcoli!$D$7:$D$21,Calcoli!$A$7:$A$21,C52),INDEX($T$5:$T$1004,P52)))</f>
        <v>1369.3</v>
      </c>
      <c r="S52">
        <f>IF(N52="","",IF(B52="Acquisto",Q52+N(D52),MAX(0,Q52-N(D52))))</f>
        <v>35</v>
      </c>
      <c r="T52">
        <f>IF(N52="","",IF(B52="Acquisto",R52+J52+N(G52),IF(Q52&lt;=0,0,R52*(1-MIN(1,N(D52)/Q52)))))</f>
        <v>1499.72</v>
      </c>
      <c r="U52" t="str">
        <f>IF(B52&lt;&gt;"Vendita","",J52-N(G52)-IF(Q52&lt;=0,0,R52*MIN(1,N(D52)/Q52)))</f>
        <v/>
      </c>
      <c r="V52" t="str">
        <f>IF(B52&lt;&gt;"Dividendo","",IF(Calcoli!$B$251=1,J52,L52))</f>
        <v/>
      </c>
      <c r="W52" t="str">
        <f>IF(AND(V52&lt;&gt;"",ISNUMBER(A52)),A52,"")</f>
        <v/>
      </c>
    </row>
    <row r="53">
      <c r="A53" s="134" t="n">
        <v>46086</v>
      </c>
      <c r="B53" s="116" t="inlineStr">
        <is>
          <t>Acquisto</t>
        </is>
      </c>
      <c r="C53" s="116" t="inlineStr">
        <is>
          <t>Titoli di Stato Euro</t>
        </is>
      </c>
      <c r="D53" s="121" t="n">
        <v>2</v>
      </c>
      <c r="E53" s="120" t="n">
        <v>104.99</v>
      </c>
      <c r="F53" s="120" t="n"/>
      <c r="G53" s="120" t="n">
        <v>1</v>
      </c>
      <c r="H53" s="120" t="n"/>
      <c r="I53" s="117" t="inlineStr">
        <is>
          <t>PAC mensile</t>
        </is>
      </c>
      <c r="J53" s="123">
        <f>IF(B53="","",IF(F53&lt;&gt;"",N(F53),ROUND(N(D53)*N(E53),2)))</f>
        <v>209.98</v>
      </c>
      <c r="K53" s="123">
        <f>IF(B53="","",IF(H53&lt;&gt;"",N(H53),IF(B53="Dividendo",ROUND(J53*IFERROR(INDEX(Calcoli!$V$7:$V$21,MATCH(C53,Calcoli!$A$7:$A$21,0)),0.26),2),IF(B53="Vendita",ROUND(MAX(0,U53)*IFERROR(INDEX(Calcoli!$V$7:$V$21,MATCH(C53,Calcoli!$A$7:$A$21,0)),0.26),2),0))))</f>
        <v>0</v>
      </c>
      <c r="L53" s="135">
        <f>IF(B53="","",IF(B53="Acquisto",-(J53+N(G53)),J53-N(G53)-K53))</f>
        <v>-210.98</v>
      </c>
      <c r="M53" s="127" t="str">
        <f>IF(B53="","",IF(ISNA(MATCH(C53,ETF!$A$7:$A$21,0)),"ETF?",IF(NOT(ISNUMBER(A53)),"Data?",IF(AND(B53&lt;&gt;"Dividendo",N(D53)&lt;=0),"Quote?",IF(AND(B53="Vendita",N(D53)&gt;N(Q53)+0.000001),"Quote?",IF(J53&lt;=0,"Importo?","✓"))))))</f>
        <v>✓</v>
      </c>
      <c r="N53">
        <f>IF(OR(B53="Acquisto",B53="Vendita"),COUNTIFS($C$5:C53,C53,$B$5:B53,"Acquisto")+COUNTIFS($C$5:C53,C53,$B$5:B53,"Vendita"),"")</f>
        <v>4</v>
      </c>
      <c r="O53" t="str">
        <f>IF(N53="","",C53&amp;"|"&amp;N53)</f>
        <v>Titoli di Stato Euro|4</v>
      </c>
      <c r="P53">
        <f>IF(N53="","",IF(N53=1,0,MATCH(C53&amp;"|"&amp;(N53-1),$O$5:$O$1004,0)))</f>
        <v>46</v>
      </c>
      <c r="Q53">
        <f>IF(N53="","",IF(P53=0,SUMIFS(Calcoli!$C$7:$C$21,Calcoli!$A$7:$A$21,C53),INDEX($S$5:$S$1004,P53)))</f>
        <v>34</v>
      </c>
      <c r="R53">
        <f>IF(N53="","",IF(P53=0,SUMIFS(Calcoli!$D$7:$D$21,Calcoli!$A$7:$A$21,C53),INDEX($T$5:$T$1004,P53)))</f>
        <v>3392.77</v>
      </c>
      <c r="S53">
        <f>IF(N53="","",IF(B53="Acquisto",Q53+N(D53),MAX(0,Q53-N(D53))))</f>
        <v>36</v>
      </c>
      <c r="T53">
        <f>IF(N53="","",IF(B53="Acquisto",R53+J53+N(G53),IF(Q53&lt;=0,0,R53*(1-MIN(1,N(D53)/Q53)))))</f>
        <v>3603.75</v>
      </c>
      <c r="U53" t="str">
        <f>IF(B53&lt;&gt;"Vendita","",J53-N(G53)-IF(Q53&lt;=0,0,R53*MIN(1,N(D53)/Q53)))</f>
        <v/>
      </c>
      <c r="V53" t="str">
        <f>IF(B53&lt;&gt;"Dividendo","",IF(Calcoli!$B$251=1,J53,L53))</f>
        <v/>
      </c>
      <c r="W53" t="str">
        <f>IF(AND(V53&lt;&gt;"",ISNUMBER(A53)),A53,"")</f>
        <v/>
      </c>
    </row>
    <row r="54">
      <c r="A54" s="134" t="n">
        <v>46106</v>
      </c>
      <c r="B54" s="116" t="inlineStr">
        <is>
          <t>Dividendo</t>
        </is>
      </c>
      <c r="C54" s="116" t="inlineStr">
        <is>
          <t>Azionario Emergenti</t>
        </is>
      </c>
      <c r="D54" s="121" t="n">
        <v>35</v>
      </c>
      <c r="E54" s="120" t="n"/>
      <c r="F54" s="120" t="n">
        <v>8.4</v>
      </c>
      <c r="G54" s="120" t="n"/>
      <c r="H54" s="120" t="n"/>
      <c r="I54" s="117" t="inlineStr">
        <is>
          <t>Dividendo trimestrale</t>
        </is>
      </c>
      <c r="J54" s="123">
        <f>IF(B54="","",IF(F54&lt;&gt;"",N(F54),ROUND(N(D54)*N(E54),2)))</f>
        <v>8.4</v>
      </c>
      <c r="K54" s="123">
        <f>IF(B54="","",IF(H54&lt;&gt;"",N(H54),IF(B54="Dividendo",ROUND(J54*IFERROR(INDEX(Calcoli!$V$7:$V$21,MATCH(C54,Calcoli!$A$7:$A$21,0)),0.26),2),IF(B54="Vendita",ROUND(MAX(0,U54)*IFERROR(INDEX(Calcoli!$V$7:$V$21,MATCH(C54,Calcoli!$A$7:$A$21,0)),0.26),2),0))))</f>
        <v>2.18</v>
      </c>
      <c r="L54" s="135">
        <f>IF(B54="","",IF(B54="Acquisto",-(J54+N(G54)),J54-N(G54)-K54))</f>
        <v>6.22</v>
      </c>
      <c r="M54" s="127" t="str">
        <f>IF(B54="","",IF(ISNA(MATCH(C54,ETF!$A$7:$A$21,0)),"ETF?",IF(NOT(ISNUMBER(A54)),"Data?",IF(AND(B54&lt;&gt;"Dividendo",N(D54)&lt;=0),"Quote?",IF(AND(B54="Vendita",N(D54)&gt;N(Q54)+0.000001),"Quote?",IF(J54&lt;=0,"Importo?","✓"))))))</f>
        <v>✓</v>
      </c>
      <c r="N54" t="str">
        <f>IF(OR(B54="Acquisto",B54="Vendita"),COUNTIFS($C$5:C54,C54,$B$5:B54,"Acquisto")+COUNTIFS($C$5:C54,C54,$B$5:B54,"Vendita"),"")</f>
        <v/>
      </c>
      <c r="O54" t="str">
        <f>IF(N54="","",C54&amp;"|"&amp;N54)</f>
        <v/>
      </c>
      <c r="P54" t="str">
        <f>IF(N54="","",IF(N54=1,0,MATCH(C54&amp;"|"&amp;(N54-1),$O$5:$O$1004,0)))</f>
        <v/>
      </c>
      <c r="Q54" t="str">
        <f>IF(N54="","",IF(P54=0,SUMIFS(Calcoli!$C$7:$C$21,Calcoli!$A$7:$A$21,C54),INDEX($S$5:$S$1004,P54)))</f>
        <v/>
      </c>
      <c r="R54" t="str">
        <f>IF(N54="","",IF(P54=0,SUMIFS(Calcoli!$D$7:$D$21,Calcoli!$A$7:$A$21,C54),INDEX($T$5:$T$1004,P54)))</f>
        <v/>
      </c>
      <c r="S54" t="str">
        <f>IF(N54="","",IF(B54="Acquisto",Q54+N(D54),MAX(0,Q54-N(D54))))</f>
        <v/>
      </c>
      <c r="T54" t="str">
        <f>IF(N54="","",IF(B54="Acquisto",R54+J54+N(G54),IF(Q54&lt;=0,0,R54*(1-MIN(1,N(D54)/Q54)))))</f>
        <v/>
      </c>
      <c r="U54" t="str">
        <f>IF(B54&lt;&gt;"Vendita","",J54-N(G54)-IF(Q54&lt;=0,0,R54*MIN(1,N(D54)/Q54)))</f>
        <v/>
      </c>
      <c r="V54">
        <f>IF(B54&lt;&gt;"Dividendo","",IF(Calcoli!$B$251=1,J54,L54))</f>
        <v>6.22</v>
      </c>
      <c r="W54">
        <f>IF(AND(V54&lt;&gt;"",ISNUMBER(A54)),A54,"")</f>
        <v>46106.0</v>
      </c>
    </row>
    <row r="55">
      <c r="A55" s="134" t="n">
        <v>46117</v>
      </c>
      <c r="B55" s="116" t="inlineStr">
        <is>
          <t>Acquisto</t>
        </is>
      </c>
      <c r="C55" s="116" t="inlineStr">
        <is>
          <t>Azionario Mondo</t>
        </is>
      </c>
      <c r="D55" s="121" t="n">
        <v>2</v>
      </c>
      <c r="E55" s="120" t="n">
        <v>114.79</v>
      </c>
      <c r="F55" s="120" t="n"/>
      <c r="G55" s="120" t="n">
        <v>1</v>
      </c>
      <c r="H55" s="120" t="n"/>
      <c r="I55" s="117" t="inlineStr">
        <is>
          <t>PAC mensile</t>
        </is>
      </c>
      <c r="J55" s="123">
        <f>IF(B55="","",IF(F55&lt;&gt;"",N(F55),ROUND(N(D55)*N(E55),2)))</f>
        <v>229.58</v>
      </c>
      <c r="K55" s="123">
        <f>IF(B55="","",IF(H55&lt;&gt;"",N(H55),IF(B55="Dividendo",ROUND(J55*IFERROR(INDEX(Calcoli!$V$7:$V$21,MATCH(C55,Calcoli!$A$7:$A$21,0)),0.26),2),IF(B55="Vendita",ROUND(MAX(0,U55)*IFERROR(INDEX(Calcoli!$V$7:$V$21,MATCH(C55,Calcoli!$A$7:$A$21,0)),0.26),2),0))))</f>
        <v>0</v>
      </c>
      <c r="L55" s="135">
        <f>IF(B55="","",IF(B55="Acquisto",-(J55+N(G55)),J55-N(G55)-K55))</f>
        <v>-230.58</v>
      </c>
      <c r="M55" s="127" t="str">
        <f>IF(B55="","",IF(ISNA(MATCH(C55,ETF!$A$7:$A$21,0)),"ETF?",IF(NOT(ISNUMBER(A55)),"Data?",IF(AND(B55&lt;&gt;"Dividendo",N(D55)&lt;=0),"Quote?",IF(AND(B55="Vendita",N(D55)&gt;N(Q55)+0.000001),"Quote?",IF(J55&lt;=0,"Importo?","✓"))))))</f>
        <v>✓</v>
      </c>
      <c r="N55">
        <f>IF(OR(B55="Acquisto",B55="Vendita"),COUNTIFS($C$5:C55,C55,$B$5:B55,"Acquisto")+COUNTIFS($C$5:C55,C55,$B$5:B55,"Vendita"),"")</f>
        <v>14</v>
      </c>
      <c r="O55" t="str">
        <f>IF(N55="","",C55&amp;"|"&amp;N55)</f>
        <v>Azionario Mondo|14</v>
      </c>
      <c r="P55">
        <f>IF(N55="","",IF(N55=1,0,MATCH(C55&amp;"|"&amp;(N55-1),$O$5:$O$1004,0)))</f>
        <v>44</v>
      </c>
      <c r="Q55">
        <f>IF(N55="","",IF(P55=0,SUMIFS(Calcoli!$C$7:$C$21,Calcoli!$A$7:$A$21,C55),INDEX($S$5:$S$1004,P55)))</f>
        <v>73</v>
      </c>
      <c r="R55">
        <f>IF(N55="","",IF(P55=0,SUMIFS(Calcoli!$D$7:$D$21,Calcoli!$A$7:$A$21,C55),INDEX($T$5:$T$1004,P55)))</f>
        <v>6713.11</v>
      </c>
      <c r="S55">
        <f>IF(N55="","",IF(B55="Acquisto",Q55+N(D55),MAX(0,Q55-N(D55))))</f>
        <v>75</v>
      </c>
      <c r="T55">
        <f>IF(N55="","",IF(B55="Acquisto",R55+J55+N(G55),IF(Q55&lt;=0,0,R55*(1-MIN(1,N(D55)/Q55)))))</f>
        <v>6943.69</v>
      </c>
      <c r="U55" t="str">
        <f>IF(B55&lt;&gt;"Vendita","",J55-N(G55)-IF(Q55&lt;=0,0,R55*MIN(1,N(D55)/Q55)))</f>
        <v/>
      </c>
      <c r="V55" t="str">
        <f>IF(B55&lt;&gt;"Dividendo","",IF(Calcoli!$B$251=1,J55,L55))</f>
        <v/>
      </c>
      <c r="W55" t="str">
        <f>IF(AND(V55&lt;&gt;"",ISNUMBER(A55)),A55,"")</f>
        <v/>
      </c>
    </row>
    <row r="56">
      <c r="A56" s="134" t="n">
        <v>46117</v>
      </c>
      <c r="B56" s="116" t="inlineStr">
        <is>
          <t>Acquisto</t>
        </is>
      </c>
      <c r="C56" s="116" t="inlineStr">
        <is>
          <t>Titoli di Stato Euro</t>
        </is>
      </c>
      <c r="D56" s="121" t="n">
        <v>1</v>
      </c>
      <c r="E56" s="120" t="n">
        <v>105.37</v>
      </c>
      <c r="F56" s="120" t="n"/>
      <c r="G56" s="120" t="n">
        <v>1</v>
      </c>
      <c r="H56" s="120" t="n"/>
      <c r="I56" s="117" t="inlineStr">
        <is>
          <t>PAC mensile</t>
        </is>
      </c>
      <c r="J56" s="123">
        <f>IF(B56="","",IF(F56&lt;&gt;"",N(F56),ROUND(N(D56)*N(E56),2)))</f>
        <v>105.37</v>
      </c>
      <c r="K56" s="123">
        <f>IF(B56="","",IF(H56&lt;&gt;"",N(H56),IF(B56="Dividendo",ROUND(J56*IFERROR(INDEX(Calcoli!$V$7:$V$21,MATCH(C56,Calcoli!$A$7:$A$21,0)),0.26),2),IF(B56="Vendita",ROUND(MAX(0,U56)*IFERROR(INDEX(Calcoli!$V$7:$V$21,MATCH(C56,Calcoli!$A$7:$A$21,0)),0.26),2),0))))</f>
        <v>0</v>
      </c>
      <c r="L56" s="135">
        <f>IF(B56="","",IF(B56="Acquisto",-(J56+N(G56)),J56-N(G56)-K56))</f>
        <v>-106.37</v>
      </c>
      <c r="M56" s="127" t="str">
        <f>IF(B56="","",IF(ISNA(MATCH(C56,ETF!$A$7:$A$21,0)),"ETF?",IF(NOT(ISNUMBER(A56)),"Data?",IF(AND(B56&lt;&gt;"Dividendo",N(D56)&lt;=0),"Quote?",IF(AND(B56="Vendita",N(D56)&gt;N(Q56)+0.000001),"Quote?",IF(J56&lt;=0,"Importo?","✓"))))))</f>
        <v>✓</v>
      </c>
      <c r="N56">
        <f>IF(OR(B56="Acquisto",B56="Vendita"),COUNTIFS($C$5:C56,C56,$B$5:B56,"Acquisto")+COUNTIFS($C$5:C56,C56,$B$5:B56,"Vendita"),"")</f>
        <v>5</v>
      </c>
      <c r="O56" t="str">
        <f>IF(N56="","",C56&amp;"|"&amp;N56)</f>
        <v>Titoli di Stato Euro|5</v>
      </c>
      <c r="P56">
        <f>IF(N56="","",IF(N56=1,0,MATCH(C56&amp;"|"&amp;(N56-1),$O$5:$O$1004,0)))</f>
        <v>49</v>
      </c>
      <c r="Q56">
        <f>IF(N56="","",IF(P56=0,SUMIFS(Calcoli!$C$7:$C$21,Calcoli!$A$7:$A$21,C56),INDEX($S$5:$S$1004,P56)))</f>
        <v>36</v>
      </c>
      <c r="R56">
        <f>IF(N56="","",IF(P56=0,SUMIFS(Calcoli!$D$7:$D$21,Calcoli!$A$7:$A$21,C56),INDEX($T$5:$T$1004,P56)))</f>
        <v>3603.75</v>
      </c>
      <c r="S56">
        <f>IF(N56="","",IF(B56="Acquisto",Q56+N(D56),MAX(0,Q56-N(D56))))</f>
        <v>37</v>
      </c>
      <c r="T56">
        <f>IF(N56="","",IF(B56="Acquisto",R56+J56+N(G56),IF(Q56&lt;=0,0,R56*(1-MIN(1,N(D56)/Q56)))))</f>
        <v>3710.12</v>
      </c>
      <c r="U56" t="str">
        <f>IF(B56&lt;&gt;"Vendita","",J56-N(G56)-IF(Q56&lt;=0,0,R56*MIN(1,N(D56)/Q56)))</f>
        <v/>
      </c>
      <c r="V56" t="str">
        <f>IF(B56&lt;&gt;"Dividendo","",IF(Calcoli!$B$251=1,J56,L56))</f>
        <v/>
      </c>
      <c r="W56" t="str">
        <f>IF(AND(V56&lt;&gt;"",ISNUMBER(A56)),A56,"")</f>
        <v/>
      </c>
    </row>
    <row r="57">
      <c r="A57" s="134" t="n">
        <v>46147</v>
      </c>
      <c r="B57" s="116" t="inlineStr">
        <is>
          <t>Acquisto</t>
        </is>
      </c>
      <c r="C57" s="116" t="inlineStr">
        <is>
          <t>Azionario Mondo</t>
        </is>
      </c>
      <c r="D57" s="121" t="n">
        <v>3</v>
      </c>
      <c r="E57" s="120" t="n">
        <v>113</v>
      </c>
      <c r="F57" s="120" t="n"/>
      <c r="G57" s="120" t="n">
        <v>1</v>
      </c>
      <c r="H57" s="120" t="n"/>
      <c r="I57" s="117" t="inlineStr">
        <is>
          <t>PAC mensile</t>
        </is>
      </c>
      <c r="J57" s="123">
        <f>IF(B57="","",IF(F57&lt;&gt;"",N(F57),ROUND(N(D57)*N(E57),2)))</f>
        <v>339</v>
      </c>
      <c r="K57" s="123">
        <f>IF(B57="","",IF(H57&lt;&gt;"",N(H57),IF(B57="Dividendo",ROUND(J57*IFERROR(INDEX(Calcoli!$V$7:$V$21,MATCH(C57,Calcoli!$A$7:$A$21,0)),0.26),2),IF(B57="Vendita",ROUND(MAX(0,U57)*IFERROR(INDEX(Calcoli!$V$7:$V$21,MATCH(C57,Calcoli!$A$7:$A$21,0)),0.26),2),0))))</f>
        <v>0</v>
      </c>
      <c r="L57" s="135">
        <f>IF(B57="","",IF(B57="Acquisto",-(J57+N(G57)),J57-N(G57)-K57))</f>
        <v>-340</v>
      </c>
      <c r="M57" s="127" t="str">
        <f>IF(B57="","",IF(ISNA(MATCH(C57,ETF!$A$7:$A$21,0)),"ETF?",IF(NOT(ISNUMBER(A57)),"Data?",IF(AND(B57&lt;&gt;"Dividendo",N(D57)&lt;=0),"Quote?",IF(AND(B57="Vendita",N(D57)&gt;N(Q57)+0.000001),"Quote?",IF(J57&lt;=0,"Importo?","✓"))))))</f>
        <v>✓</v>
      </c>
      <c r="N57">
        <f>IF(OR(B57="Acquisto",B57="Vendita"),COUNTIFS($C$5:C57,C57,$B$5:B57,"Acquisto")+COUNTIFS($C$5:C57,C57,$B$5:B57,"Vendita"),"")</f>
        <v>15</v>
      </c>
      <c r="O57" t="str">
        <f>IF(N57="","",C57&amp;"|"&amp;N57)</f>
        <v>Azionario Mondo|15</v>
      </c>
      <c r="P57">
        <f>IF(N57="","",IF(N57=1,0,MATCH(C57&amp;"|"&amp;(N57-1),$O$5:$O$1004,0)))</f>
        <v>51</v>
      </c>
      <c r="Q57">
        <f>IF(N57="","",IF(P57=0,SUMIFS(Calcoli!$C$7:$C$21,Calcoli!$A$7:$A$21,C57),INDEX($S$5:$S$1004,P57)))</f>
        <v>75</v>
      </c>
      <c r="R57">
        <f>IF(N57="","",IF(P57=0,SUMIFS(Calcoli!$D$7:$D$21,Calcoli!$A$7:$A$21,C57),INDEX($T$5:$T$1004,P57)))</f>
        <v>6943.69</v>
      </c>
      <c r="S57">
        <f>IF(N57="","",IF(B57="Acquisto",Q57+N(D57),MAX(0,Q57-N(D57))))</f>
        <v>78</v>
      </c>
      <c r="T57">
        <f>IF(N57="","",IF(B57="Acquisto",R57+J57+N(G57),IF(Q57&lt;=0,0,R57*(1-MIN(1,N(D57)/Q57)))))</f>
        <v>7283.69</v>
      </c>
      <c r="U57" t="str">
        <f>IF(B57&lt;&gt;"Vendita","",J57-N(G57)-IF(Q57&lt;=0,0,R57*MIN(1,N(D57)/Q57)))</f>
        <v/>
      </c>
      <c r="V57" t="str">
        <f>IF(B57&lt;&gt;"Dividendo","",IF(Calcoli!$B$251=1,J57,L57))</f>
        <v/>
      </c>
      <c r="W57" t="str">
        <f>IF(AND(V57&lt;&gt;"",ISNUMBER(A57)),A57,"")</f>
        <v/>
      </c>
    </row>
    <row r="58">
      <c r="A58" s="134" t="n">
        <v>46178</v>
      </c>
      <c r="B58" s="116" t="inlineStr">
        <is>
          <t>Acquisto</t>
        </is>
      </c>
      <c r="C58" s="116" t="inlineStr">
        <is>
          <t>Azionario Mondo</t>
        </is>
      </c>
      <c r="D58" s="121" t="n">
        <v>2</v>
      </c>
      <c r="E58" s="120" t="n">
        <v>110.05</v>
      </c>
      <c r="F58" s="120" t="n"/>
      <c r="G58" s="120" t="n">
        <v>1</v>
      </c>
      <c r="H58" s="120" t="n"/>
      <c r="I58" s="117" t="inlineStr">
        <is>
          <t>PAC mensile</t>
        </is>
      </c>
      <c r="J58" s="123">
        <f>IF(B58="","",IF(F58&lt;&gt;"",N(F58),ROUND(N(D58)*N(E58),2)))</f>
        <v>220.1</v>
      </c>
      <c r="K58" s="123">
        <f>IF(B58="","",IF(H58&lt;&gt;"",N(H58),IF(B58="Dividendo",ROUND(J58*IFERROR(INDEX(Calcoli!$V$7:$V$21,MATCH(C58,Calcoli!$A$7:$A$21,0)),0.26),2),IF(B58="Vendita",ROUND(MAX(0,U58)*IFERROR(INDEX(Calcoli!$V$7:$V$21,MATCH(C58,Calcoli!$A$7:$A$21,0)),0.26),2),0))))</f>
        <v>0</v>
      </c>
      <c r="L58" s="135">
        <f>IF(B58="","",IF(B58="Acquisto",-(J58+N(G58)),J58-N(G58)-K58))</f>
        <v>-221.1</v>
      </c>
      <c r="M58" s="127" t="str">
        <f>IF(B58="","",IF(ISNA(MATCH(C58,ETF!$A$7:$A$21,0)),"ETF?",IF(NOT(ISNUMBER(A58)),"Data?",IF(AND(B58&lt;&gt;"Dividendo",N(D58)&lt;=0),"Quote?",IF(AND(B58="Vendita",N(D58)&gt;N(Q58)+0.000001),"Quote?",IF(J58&lt;=0,"Importo?","✓"))))))</f>
        <v>✓</v>
      </c>
      <c r="N58">
        <f>IF(OR(B58="Acquisto",B58="Vendita"),COUNTIFS($C$5:C58,C58,$B$5:B58,"Acquisto")+COUNTIFS($C$5:C58,C58,$B$5:B58,"Vendita"),"")</f>
        <v>16</v>
      </c>
      <c r="O58" t="str">
        <f>IF(N58="","",C58&amp;"|"&amp;N58)</f>
        <v>Azionario Mondo|16</v>
      </c>
      <c r="P58">
        <f>IF(N58="","",IF(N58=1,0,MATCH(C58&amp;"|"&amp;(N58-1),$O$5:$O$1004,0)))</f>
        <v>53</v>
      </c>
      <c r="Q58">
        <f>IF(N58="","",IF(P58=0,SUMIFS(Calcoli!$C$7:$C$21,Calcoli!$A$7:$A$21,C58),INDEX($S$5:$S$1004,P58)))</f>
        <v>78</v>
      </c>
      <c r="R58">
        <f>IF(N58="","",IF(P58=0,SUMIFS(Calcoli!$D$7:$D$21,Calcoli!$A$7:$A$21,C58),INDEX($T$5:$T$1004,P58)))</f>
        <v>7283.69</v>
      </c>
      <c r="S58">
        <f>IF(N58="","",IF(B58="Acquisto",Q58+N(D58),MAX(0,Q58-N(D58))))</f>
        <v>80</v>
      </c>
      <c r="T58">
        <f>IF(N58="","",IF(B58="Acquisto",R58+J58+N(G58),IF(Q58&lt;=0,0,R58*(1-MIN(1,N(D58)/Q58)))))</f>
        <v>7504.79</v>
      </c>
      <c r="U58" t="str">
        <f>IF(B58&lt;&gt;"Vendita","",J58-N(G58)-IF(Q58&lt;=0,0,R58*MIN(1,N(D58)/Q58)))</f>
        <v/>
      </c>
      <c r="V58" t="str">
        <f>IF(B58&lt;&gt;"Dividendo","",IF(Calcoli!$B$251=1,J58,L58))</f>
        <v/>
      </c>
      <c r="W58" t="str">
        <f>IF(AND(V58&lt;&gt;"",ISNUMBER(A58)),A58,"")</f>
        <v/>
      </c>
    </row>
    <row r="59">
      <c r="A59" s="134" t="n">
        <v>46178</v>
      </c>
      <c r="B59" s="116" t="inlineStr">
        <is>
          <t>Acquisto</t>
        </is>
      </c>
      <c r="C59" s="116" t="inlineStr">
        <is>
          <t>Titoli di Stato Euro</t>
        </is>
      </c>
      <c r="D59" s="121" t="n">
        <v>1</v>
      </c>
      <c r="E59" s="120" t="n">
        <v>105.78</v>
      </c>
      <c r="F59" s="120" t="n"/>
      <c r="G59" s="120" t="n">
        <v>1</v>
      </c>
      <c r="H59" s="120" t="n"/>
      <c r="I59" s="117" t="inlineStr">
        <is>
          <t>PAC mensile</t>
        </is>
      </c>
      <c r="J59" s="123">
        <f>IF(B59="","",IF(F59&lt;&gt;"",N(F59),ROUND(N(D59)*N(E59),2)))</f>
        <v>105.78</v>
      </c>
      <c r="K59" s="123">
        <f>IF(B59="","",IF(H59&lt;&gt;"",N(H59),IF(B59="Dividendo",ROUND(J59*IFERROR(INDEX(Calcoli!$V$7:$V$21,MATCH(C59,Calcoli!$A$7:$A$21,0)),0.26),2),IF(B59="Vendita",ROUND(MAX(0,U59)*IFERROR(INDEX(Calcoli!$V$7:$V$21,MATCH(C59,Calcoli!$A$7:$A$21,0)),0.26),2),0))))</f>
        <v>0</v>
      </c>
      <c r="L59" s="135">
        <f>IF(B59="","",IF(B59="Acquisto",-(J59+N(G59)),J59-N(G59)-K59))</f>
        <v>-106.78</v>
      </c>
      <c r="M59" s="127" t="str">
        <f>IF(B59="","",IF(ISNA(MATCH(C59,ETF!$A$7:$A$21,0)),"ETF?",IF(NOT(ISNUMBER(A59)),"Data?",IF(AND(B59&lt;&gt;"Dividendo",N(D59)&lt;=0),"Quote?",IF(AND(B59="Vendita",N(D59)&gt;N(Q59)+0.000001),"Quote?",IF(J59&lt;=0,"Importo?","✓"))))))</f>
        <v>✓</v>
      </c>
      <c r="N59">
        <f>IF(OR(B59="Acquisto",B59="Vendita"),COUNTIFS($C$5:C59,C59,$B$5:B59,"Acquisto")+COUNTIFS($C$5:C59,C59,$B$5:B59,"Vendita"),"")</f>
        <v>6</v>
      </c>
      <c r="O59" t="str">
        <f>IF(N59="","",C59&amp;"|"&amp;N59)</f>
        <v>Titoli di Stato Euro|6</v>
      </c>
      <c r="P59">
        <f>IF(N59="","",IF(N59=1,0,MATCH(C59&amp;"|"&amp;(N59-1),$O$5:$O$1004,0)))</f>
        <v>52</v>
      </c>
      <c r="Q59">
        <f>IF(N59="","",IF(P59=0,SUMIFS(Calcoli!$C$7:$C$21,Calcoli!$A$7:$A$21,C59),INDEX($S$5:$S$1004,P59)))</f>
        <v>37</v>
      </c>
      <c r="R59">
        <f>IF(N59="","",IF(P59=0,SUMIFS(Calcoli!$D$7:$D$21,Calcoli!$A$7:$A$21,C59),INDEX($T$5:$T$1004,P59)))</f>
        <v>3710.12</v>
      </c>
      <c r="S59">
        <f>IF(N59="","",IF(B59="Acquisto",Q59+N(D59),MAX(0,Q59-N(D59))))</f>
        <v>38</v>
      </c>
      <c r="T59">
        <f>IF(N59="","",IF(B59="Acquisto",R59+J59+N(G59),IF(Q59&lt;=0,0,R59*(1-MIN(1,N(D59)/Q59)))))</f>
        <v>3816.9</v>
      </c>
      <c r="U59" t="str">
        <f>IF(B59&lt;&gt;"Vendita","",J59-N(G59)-IF(Q59&lt;=0,0,R59*MIN(1,N(D59)/Q59)))</f>
        <v/>
      </c>
      <c r="V59" t="str">
        <f>IF(B59&lt;&gt;"Dividendo","",IF(Calcoli!$B$251=1,J59,L59))</f>
        <v/>
      </c>
      <c r="W59" t="str">
        <f>IF(AND(V59&lt;&gt;"",ISNUMBER(A59)),A59,"")</f>
        <v/>
      </c>
    </row>
    <row r="60">
      <c r="A60" s="134" t="n">
        <v>46193</v>
      </c>
      <c r="B60" s="116" t="inlineStr">
        <is>
          <t>Dividendo</t>
        </is>
      </c>
      <c r="C60" s="116" t="inlineStr">
        <is>
          <t>Titoli di Stato Euro</t>
        </is>
      </c>
      <c r="D60" s="121" t="n">
        <v>38</v>
      </c>
      <c r="E60" s="120" t="n"/>
      <c r="F60" s="120" t="n">
        <v>23.56</v>
      </c>
      <c r="G60" s="120" t="n"/>
      <c r="H60" s="120" t="n"/>
      <c r="I60" s="117" t="inlineStr">
        <is>
          <t>Cedola semestrale</t>
        </is>
      </c>
      <c r="J60" s="123">
        <f>IF(B60="","",IF(F60&lt;&gt;"",N(F60),ROUND(N(D60)*N(E60),2)))</f>
        <v>23.56</v>
      </c>
      <c r="K60" s="123">
        <f>IF(B60="","",IF(H60&lt;&gt;"",N(H60),IF(B60="Dividendo",ROUND(J60*IFERROR(INDEX(Calcoli!$V$7:$V$21,MATCH(C60,Calcoli!$A$7:$A$21,0)),0.26),2),IF(B60="Vendita",ROUND(MAX(0,U60)*IFERROR(INDEX(Calcoli!$V$7:$V$21,MATCH(C60,Calcoli!$A$7:$A$21,0)),0.26),2),0))))</f>
        <v>2.95</v>
      </c>
      <c r="L60" s="135">
        <f>IF(B60="","",IF(B60="Acquisto",-(J60+N(G60)),J60-N(G60)-K60))</f>
        <v>20.61</v>
      </c>
      <c r="M60" s="127" t="str">
        <f>IF(B60="","",IF(ISNA(MATCH(C60,ETF!$A$7:$A$21,0)),"ETF?",IF(NOT(ISNUMBER(A60)),"Data?",IF(AND(B60&lt;&gt;"Dividendo",N(D60)&lt;=0),"Quote?",IF(AND(B60="Vendita",N(D60)&gt;N(Q60)+0.000001),"Quote?",IF(J60&lt;=0,"Importo?","✓"))))))</f>
        <v>✓</v>
      </c>
      <c r="N60" t="str">
        <f>IF(OR(B60="Acquisto",B60="Vendita"),COUNTIFS($C$5:C60,C60,$B$5:B60,"Acquisto")+COUNTIFS($C$5:C60,C60,$B$5:B60,"Vendita"),"")</f>
        <v/>
      </c>
      <c r="O60" t="str">
        <f>IF(N60="","",C60&amp;"|"&amp;N60)</f>
        <v/>
      </c>
      <c r="P60" t="str">
        <f>IF(N60="","",IF(N60=1,0,MATCH(C60&amp;"|"&amp;(N60-1),$O$5:$O$1004,0)))</f>
        <v/>
      </c>
      <c r="Q60" t="str">
        <f>IF(N60="","",IF(P60=0,SUMIFS(Calcoli!$C$7:$C$21,Calcoli!$A$7:$A$21,C60),INDEX($S$5:$S$1004,P60)))</f>
        <v/>
      </c>
      <c r="R60" t="str">
        <f>IF(N60="","",IF(P60=0,SUMIFS(Calcoli!$D$7:$D$21,Calcoli!$A$7:$A$21,C60),INDEX($T$5:$T$1004,P60)))</f>
        <v/>
      </c>
      <c r="S60" t="str">
        <f>IF(N60="","",IF(B60="Acquisto",Q60+N(D60),MAX(0,Q60-N(D60))))</f>
        <v/>
      </c>
      <c r="T60" t="str">
        <f>IF(N60="","",IF(B60="Acquisto",R60+J60+N(G60),IF(Q60&lt;=0,0,R60*(1-MIN(1,N(D60)/Q60)))))</f>
        <v/>
      </c>
      <c r="U60" t="str">
        <f>IF(B60&lt;&gt;"Vendita","",J60-N(G60)-IF(Q60&lt;=0,0,R60*MIN(1,N(D60)/Q60)))</f>
        <v/>
      </c>
      <c r="V60">
        <f>IF(B60&lt;&gt;"Dividendo","",IF(Calcoli!$B$251=1,J60,L60))</f>
        <v>20.61</v>
      </c>
      <c r="W60">
        <f>IF(AND(V60&lt;&gt;"",ISNUMBER(A60)),A60,"")</f>
        <v>46193.0</v>
      </c>
    </row>
    <row r="61">
      <c r="A61" s="134" t="n">
        <v>46198</v>
      </c>
      <c r="B61" s="116" t="inlineStr">
        <is>
          <t>Dividendo</t>
        </is>
      </c>
      <c r="C61" s="116" t="inlineStr">
        <is>
          <t>Azionario Emergenti</t>
        </is>
      </c>
      <c r="D61" s="121" t="n">
        <v>35</v>
      </c>
      <c r="E61" s="120" t="n"/>
      <c r="F61" s="120" t="n">
        <v>8.4</v>
      </c>
      <c r="G61" s="120" t="n"/>
      <c r="H61" s="120" t="n"/>
      <c r="I61" s="117" t="inlineStr">
        <is>
          <t>Dividendo trimestrale</t>
        </is>
      </c>
      <c r="J61" s="123">
        <f>IF(B61="","",IF(F61&lt;&gt;"",N(F61),ROUND(N(D61)*N(E61),2)))</f>
        <v>8.4</v>
      </c>
      <c r="K61" s="123">
        <f>IF(B61="","",IF(H61&lt;&gt;"",N(H61),IF(B61="Dividendo",ROUND(J61*IFERROR(INDEX(Calcoli!$V$7:$V$21,MATCH(C61,Calcoli!$A$7:$A$21,0)),0.26),2),IF(B61="Vendita",ROUND(MAX(0,U61)*IFERROR(INDEX(Calcoli!$V$7:$V$21,MATCH(C61,Calcoli!$A$7:$A$21,0)),0.26),2),0))))</f>
        <v>2.18</v>
      </c>
      <c r="L61" s="135">
        <f>IF(B61="","",IF(B61="Acquisto",-(J61+N(G61)),J61-N(G61)-K61))</f>
        <v>6.22</v>
      </c>
      <c r="M61" s="127" t="str">
        <f>IF(B61="","",IF(ISNA(MATCH(C61,ETF!$A$7:$A$21,0)),"ETF?",IF(NOT(ISNUMBER(A61)),"Data?",IF(AND(B61&lt;&gt;"Dividendo",N(D61)&lt;=0),"Quote?",IF(AND(B61="Vendita",N(D61)&gt;N(Q61)+0.000001),"Quote?",IF(J61&lt;=0,"Importo?","✓"))))))</f>
        <v>✓</v>
      </c>
      <c r="N61" t="str">
        <f>IF(OR(B61="Acquisto",B61="Vendita"),COUNTIFS($C$5:C61,C61,$B$5:B61,"Acquisto")+COUNTIFS($C$5:C61,C61,$B$5:B61,"Vendita"),"")</f>
        <v/>
      </c>
      <c r="O61" t="str">
        <f>IF(N61="","",C61&amp;"|"&amp;N61)</f>
        <v/>
      </c>
      <c r="P61" t="str">
        <f>IF(N61="","",IF(N61=1,0,MATCH(C61&amp;"|"&amp;(N61-1),$O$5:$O$1004,0)))</f>
        <v/>
      </c>
      <c r="Q61" t="str">
        <f>IF(N61="","",IF(P61=0,SUMIFS(Calcoli!$C$7:$C$21,Calcoli!$A$7:$A$21,C61),INDEX($S$5:$S$1004,P61)))</f>
        <v/>
      </c>
      <c r="R61" t="str">
        <f>IF(N61="","",IF(P61=0,SUMIFS(Calcoli!$D$7:$D$21,Calcoli!$A$7:$A$21,C61),INDEX($T$5:$T$1004,P61)))</f>
        <v/>
      </c>
      <c r="S61" t="str">
        <f>IF(N61="","",IF(B61="Acquisto",Q61+N(D61),MAX(0,Q61-N(D61))))</f>
        <v/>
      </c>
      <c r="T61" t="str">
        <f>IF(N61="","",IF(B61="Acquisto",R61+J61+N(G61),IF(Q61&lt;=0,0,R61*(1-MIN(1,N(D61)/Q61)))))</f>
        <v/>
      </c>
      <c r="U61" t="str">
        <f>IF(B61&lt;&gt;"Vendita","",J61-N(G61)-IF(Q61&lt;=0,0,R61*MIN(1,N(D61)/Q61)))</f>
        <v/>
      </c>
      <c r="V61">
        <f>IF(B61&lt;&gt;"Dividendo","",IF(Calcoli!$B$251=1,J61,L61))</f>
        <v>6.22</v>
      </c>
      <c r="W61">
        <f>IF(AND(V61&lt;&gt;"",ISNUMBER(A61)),A61,"")</f>
        <v>46198.0</v>
      </c>
    </row>
    <row r="62">
      <c r="A62" s="134" t="n">
        <v>46208</v>
      </c>
      <c r="B62" s="116" t="inlineStr">
        <is>
          <t>Acquisto</t>
        </is>
      </c>
      <c r="C62" s="116" t="inlineStr">
        <is>
          <t>Azionario Mondo</t>
        </is>
      </c>
      <c r="D62" s="121" t="n">
        <v>2</v>
      </c>
      <c r="E62" s="120" t="n">
        <v>111.24</v>
      </c>
      <c r="F62" s="120" t="n"/>
      <c r="G62" s="120" t="n">
        <v>1</v>
      </c>
      <c r="H62" s="120" t="n"/>
      <c r="I62" s="117" t="inlineStr">
        <is>
          <t>PAC mensile</t>
        </is>
      </c>
      <c r="J62" s="123">
        <f>IF(B62="","",IF(F62&lt;&gt;"",N(F62),ROUND(N(D62)*N(E62),2)))</f>
        <v>222.48</v>
      </c>
      <c r="K62" s="123">
        <f>IF(B62="","",IF(H62&lt;&gt;"",N(H62),IF(B62="Dividendo",ROUND(J62*IFERROR(INDEX(Calcoli!$V$7:$V$21,MATCH(C62,Calcoli!$A$7:$A$21,0)),0.26),2),IF(B62="Vendita",ROUND(MAX(0,U62)*IFERROR(INDEX(Calcoli!$V$7:$V$21,MATCH(C62,Calcoli!$A$7:$A$21,0)),0.26),2),0))))</f>
        <v>0</v>
      </c>
      <c r="L62" s="135">
        <f>IF(B62="","",IF(B62="Acquisto",-(J62+N(G62)),J62-N(G62)-K62))</f>
        <v>-223.48</v>
      </c>
      <c r="M62" s="127" t="str">
        <f>IF(B62="","",IF(ISNA(MATCH(C62,ETF!$A$7:$A$21,0)),"ETF?",IF(NOT(ISNUMBER(A62)),"Data?",IF(AND(B62&lt;&gt;"Dividendo",N(D62)&lt;=0),"Quote?",IF(AND(B62="Vendita",N(D62)&gt;N(Q62)+0.000001),"Quote?",IF(J62&lt;=0,"Importo?","✓"))))))</f>
        <v>✓</v>
      </c>
      <c r="N62">
        <f>IF(OR(B62="Acquisto",B62="Vendita"),COUNTIFS($C$5:C62,C62,$B$5:B62,"Acquisto")+COUNTIFS($C$5:C62,C62,$B$5:B62,"Vendita"),"")</f>
        <v>17</v>
      </c>
      <c r="O62" t="str">
        <f>IF(N62="","",C62&amp;"|"&amp;N62)</f>
        <v>Azionario Mondo|17</v>
      </c>
      <c r="P62">
        <f>IF(N62="","",IF(N62=1,0,MATCH(C62&amp;"|"&amp;(N62-1),$O$5:$O$1004,0)))</f>
        <v>54</v>
      </c>
      <c r="Q62">
        <f>IF(N62="","",IF(P62=0,SUMIFS(Calcoli!$C$7:$C$21,Calcoli!$A$7:$A$21,C62),INDEX($S$5:$S$1004,P62)))</f>
        <v>80</v>
      </c>
      <c r="R62">
        <f>IF(N62="","",IF(P62=0,SUMIFS(Calcoli!$D$7:$D$21,Calcoli!$A$7:$A$21,C62),INDEX($T$5:$T$1004,P62)))</f>
        <v>7504.79</v>
      </c>
      <c r="S62">
        <f>IF(N62="","",IF(B62="Acquisto",Q62+N(D62),MAX(0,Q62-N(D62))))</f>
        <v>82</v>
      </c>
      <c r="T62">
        <f>IF(N62="","",IF(B62="Acquisto",R62+J62+N(G62),IF(Q62&lt;=0,0,R62*(1-MIN(1,N(D62)/Q62)))))</f>
        <v>7728.27</v>
      </c>
      <c r="U62" t="str">
        <f>IF(B62&lt;&gt;"Vendita","",J62-N(G62)-IF(Q62&lt;=0,0,R62*MIN(1,N(D62)/Q62)))</f>
        <v/>
      </c>
      <c r="V62" t="str">
        <f>IF(B62&lt;&gt;"Dividendo","",IF(Calcoli!$B$251=1,J62,L62))</f>
        <v/>
      </c>
      <c r="W62" t="str">
        <f>IF(AND(V62&lt;&gt;"",ISNUMBER(A62)),A62,"")</f>
        <v/>
      </c>
    </row>
    <row r="63">
      <c r="A63" s="134" t="n">
        <v>46208</v>
      </c>
      <c r="B63" s="116" t="inlineStr">
        <is>
          <t>Acquisto</t>
        </is>
      </c>
      <c r="C63" s="116" t="inlineStr">
        <is>
          <t>Azionario Emergenti</t>
        </is>
      </c>
      <c r="D63" s="121" t="n">
        <v>1</v>
      </c>
      <c r="E63" s="120" t="n">
        <v>45.68</v>
      </c>
      <c r="F63" s="120" t="n"/>
      <c r="G63" s="120" t="n">
        <v>1</v>
      </c>
      <c r="H63" s="120" t="n"/>
      <c r="I63" s="117" t="inlineStr">
        <is>
          <t>PAC mensile</t>
        </is>
      </c>
      <c r="J63" s="123">
        <f>IF(B63="","",IF(F63&lt;&gt;"",N(F63),ROUND(N(D63)*N(E63),2)))</f>
        <v>45.68</v>
      </c>
      <c r="K63" s="123">
        <f>IF(B63="","",IF(H63&lt;&gt;"",N(H63),IF(B63="Dividendo",ROUND(J63*IFERROR(INDEX(Calcoli!$V$7:$V$21,MATCH(C63,Calcoli!$A$7:$A$21,0)),0.26),2),IF(B63="Vendita",ROUND(MAX(0,U63)*IFERROR(INDEX(Calcoli!$V$7:$V$21,MATCH(C63,Calcoli!$A$7:$A$21,0)),0.26),2),0))))</f>
        <v>0</v>
      </c>
      <c r="L63" s="135">
        <f>IF(B63="","",IF(B63="Acquisto",-(J63+N(G63)),J63-N(G63)-K63))</f>
        <v>-46.68</v>
      </c>
      <c r="M63" s="127" t="str">
        <f>IF(B63="","",IF(ISNA(MATCH(C63,ETF!$A$7:$A$21,0)),"ETF?",IF(NOT(ISNUMBER(A63)),"Data?",IF(AND(B63&lt;&gt;"Dividendo",N(D63)&lt;=0),"Quote?",IF(AND(B63="Vendita",N(D63)&gt;N(Q63)+0.000001),"Quote?",IF(J63&lt;=0,"Importo?","✓"))))))</f>
        <v>✓</v>
      </c>
      <c r="N63">
        <f>IF(OR(B63="Acquisto",B63="Vendita"),COUNTIFS($C$5:C63,C63,$B$5:B63,"Acquisto")+COUNTIFS($C$5:C63,C63,$B$5:B63,"Vendita"),"")</f>
        <v>15</v>
      </c>
      <c r="O63" t="str">
        <f>IF(N63="","",C63&amp;"|"&amp;N63)</f>
        <v>Azionario Emergenti|15</v>
      </c>
      <c r="P63">
        <f>IF(N63="","",IF(N63=1,0,MATCH(C63&amp;"|"&amp;(N63-1),$O$5:$O$1004,0)))</f>
        <v>48</v>
      </c>
      <c r="Q63">
        <f>IF(N63="","",IF(P63=0,SUMIFS(Calcoli!$C$7:$C$21,Calcoli!$A$7:$A$21,C63),INDEX($S$5:$S$1004,P63)))</f>
        <v>35</v>
      </c>
      <c r="R63">
        <f>IF(N63="","",IF(P63=0,SUMIFS(Calcoli!$D$7:$D$21,Calcoli!$A$7:$A$21,C63),INDEX($T$5:$T$1004,P63)))</f>
        <v>1499.72</v>
      </c>
      <c r="S63">
        <f>IF(N63="","",IF(B63="Acquisto",Q63+N(D63),MAX(0,Q63-N(D63))))</f>
        <v>36</v>
      </c>
      <c r="T63">
        <f>IF(N63="","",IF(B63="Acquisto",R63+J63+N(G63),IF(Q63&lt;=0,0,R63*(1-MIN(1,N(D63)/Q63)))))</f>
        <v>1546.4</v>
      </c>
      <c r="U63" t="str">
        <f>IF(B63&lt;&gt;"Vendita","",J63-N(G63)-IF(Q63&lt;=0,0,R63*MIN(1,N(D63)/Q63)))</f>
        <v/>
      </c>
      <c r="V63" t="str">
        <f>IF(B63&lt;&gt;"Dividendo","",IF(Calcoli!$B$251=1,J63,L63))</f>
        <v/>
      </c>
      <c r="W63" t="str">
        <f>IF(AND(V63&lt;&gt;"",ISNUMBER(A63)),A63,"")</f>
        <v/>
      </c>
    </row>
    <row r="64">
      <c r="A64" s="134" t="n">
        <v>46208</v>
      </c>
      <c r="B64" s="116" t="inlineStr">
        <is>
          <t>Acquisto</t>
        </is>
      </c>
      <c r="C64" s="116" t="inlineStr">
        <is>
          <t>Titoli di Stato Euro</t>
        </is>
      </c>
      <c r="D64" s="121" t="n">
        <v>1</v>
      </c>
      <c r="E64" s="120" t="n">
        <v>105.95</v>
      </c>
      <c r="F64" s="120" t="n"/>
      <c r="G64" s="120" t="n">
        <v>1</v>
      </c>
      <c r="H64" s="120" t="n"/>
      <c r="I64" s="117" t="inlineStr">
        <is>
          <t>PAC mensile</t>
        </is>
      </c>
      <c r="J64" s="123">
        <f>IF(B64="","",IF(F64&lt;&gt;"",N(F64),ROUND(N(D64)*N(E64),2)))</f>
        <v>105.95</v>
      </c>
      <c r="K64" s="123">
        <f>IF(B64="","",IF(H64&lt;&gt;"",N(H64),IF(B64="Dividendo",ROUND(J64*IFERROR(INDEX(Calcoli!$V$7:$V$21,MATCH(C64,Calcoli!$A$7:$A$21,0)),0.26),2),IF(B64="Vendita",ROUND(MAX(0,U64)*IFERROR(INDEX(Calcoli!$V$7:$V$21,MATCH(C64,Calcoli!$A$7:$A$21,0)),0.26),2),0))))</f>
        <v>0</v>
      </c>
      <c r="L64" s="135">
        <f>IF(B64="","",IF(B64="Acquisto",-(J64+N(G64)),J64-N(G64)-K64))</f>
        <v>-106.95</v>
      </c>
      <c r="M64" s="127" t="str">
        <f>IF(B64="","",IF(ISNA(MATCH(C64,ETF!$A$7:$A$21,0)),"ETF?",IF(NOT(ISNUMBER(A64)),"Data?",IF(AND(B64&lt;&gt;"Dividendo",N(D64)&lt;=0),"Quote?",IF(AND(B64="Vendita",N(D64)&gt;N(Q64)+0.000001),"Quote?",IF(J64&lt;=0,"Importo?","✓"))))))</f>
        <v>✓</v>
      </c>
      <c r="N64">
        <f>IF(OR(B64="Acquisto",B64="Vendita"),COUNTIFS($C$5:C64,C64,$B$5:B64,"Acquisto")+COUNTIFS($C$5:C64,C64,$B$5:B64,"Vendita"),"")</f>
        <v>7</v>
      </c>
      <c r="O64" t="str">
        <f>IF(N64="","",C64&amp;"|"&amp;N64)</f>
        <v>Titoli di Stato Euro|7</v>
      </c>
      <c r="P64">
        <f>IF(N64="","",IF(N64=1,0,MATCH(C64&amp;"|"&amp;(N64-1),$O$5:$O$1004,0)))</f>
        <v>55</v>
      </c>
      <c r="Q64">
        <f>IF(N64="","",IF(P64=0,SUMIFS(Calcoli!$C$7:$C$21,Calcoli!$A$7:$A$21,C64),INDEX($S$5:$S$1004,P64)))</f>
        <v>38</v>
      </c>
      <c r="R64">
        <f>IF(N64="","",IF(P64=0,SUMIFS(Calcoli!$D$7:$D$21,Calcoli!$A$7:$A$21,C64),INDEX($T$5:$T$1004,P64)))</f>
        <v>3816.9</v>
      </c>
      <c r="S64">
        <f>IF(N64="","",IF(B64="Acquisto",Q64+N(D64),MAX(0,Q64-N(D64))))</f>
        <v>39</v>
      </c>
      <c r="T64">
        <f>IF(N64="","",IF(B64="Acquisto",R64+J64+N(G64),IF(Q64&lt;=0,0,R64*(1-MIN(1,N(D64)/Q64)))))</f>
        <v>3923.85</v>
      </c>
      <c r="U64" t="str">
        <f>IF(B64&lt;&gt;"Vendita","",J64-N(G64)-IF(Q64&lt;=0,0,R64*MIN(1,N(D64)/Q64)))</f>
        <v/>
      </c>
      <c r="V64" t="str">
        <f>IF(B64&lt;&gt;"Dividendo","",IF(Calcoli!$B$251=1,J64,L64))</f>
        <v/>
      </c>
      <c r="W64" t="str">
        <f>IF(AND(V64&lt;&gt;"",ISNUMBER(A64)),A64,"")</f>
        <v/>
      </c>
    </row>
    <row r="65">
      <c r="A65" s="134" t="n">
        <v>46239</v>
      </c>
      <c r="B65" s="116" t="inlineStr">
        <is>
          <t>Acquisto</t>
        </is>
      </c>
      <c r="C65" s="116" t="inlineStr">
        <is>
          <t>Azionario Mondo</t>
        </is>
      </c>
      <c r="D65" s="121" t="n">
        <v>2</v>
      </c>
      <c r="E65" s="120" t="n">
        <v>112.62</v>
      </c>
      <c r="F65" s="120" t="n"/>
      <c r="G65" s="120" t="n">
        <v>1</v>
      </c>
      <c r="H65" s="120" t="n"/>
      <c r="I65" s="117" t="inlineStr">
        <is>
          <t>PAC mensile</t>
        </is>
      </c>
      <c r="J65" s="123">
        <f>IF(B65="","",IF(F65&lt;&gt;"",N(F65),ROUND(N(D65)*N(E65),2)))</f>
        <v>225.24</v>
      </c>
      <c r="K65" s="123">
        <f>IF(B65="","",IF(H65&lt;&gt;"",N(H65),IF(B65="Dividendo",ROUND(J65*IFERROR(INDEX(Calcoli!$V$7:$V$21,MATCH(C65,Calcoli!$A$7:$A$21,0)),0.26),2),IF(B65="Vendita",ROUND(MAX(0,U65)*IFERROR(INDEX(Calcoli!$V$7:$V$21,MATCH(C65,Calcoli!$A$7:$A$21,0)),0.26),2),0))))</f>
        <v>0</v>
      </c>
      <c r="L65" s="135">
        <f>IF(B65="","",IF(B65="Acquisto",-(J65+N(G65)),J65-N(G65)-K65))</f>
        <v>-226.24</v>
      </c>
      <c r="M65" s="127" t="str">
        <f>IF(B65="","",IF(ISNA(MATCH(C65,ETF!$A$7:$A$21,0)),"ETF?",IF(NOT(ISNUMBER(A65)),"Data?",IF(AND(B65&lt;&gt;"Dividendo",N(D65)&lt;=0),"Quote?",IF(AND(B65="Vendita",N(D65)&gt;N(Q65)+0.000001),"Quote?",IF(J65&lt;=0,"Importo?","✓"))))))</f>
        <v>✓</v>
      </c>
      <c r="N65">
        <f>IF(OR(B65="Acquisto",B65="Vendita"),COUNTIFS($C$5:C65,C65,$B$5:B65,"Acquisto")+COUNTIFS($C$5:C65,C65,$B$5:B65,"Vendita"),"")</f>
        <v>18</v>
      </c>
      <c r="O65" t="str">
        <f>IF(N65="","",C65&amp;"|"&amp;N65)</f>
        <v>Azionario Mondo|18</v>
      </c>
      <c r="P65">
        <f>IF(N65="","",IF(N65=1,0,MATCH(C65&amp;"|"&amp;(N65-1),$O$5:$O$1004,0)))</f>
        <v>58</v>
      </c>
      <c r="Q65">
        <f>IF(N65="","",IF(P65=0,SUMIFS(Calcoli!$C$7:$C$21,Calcoli!$A$7:$A$21,C65),INDEX($S$5:$S$1004,P65)))</f>
        <v>82</v>
      </c>
      <c r="R65">
        <f>IF(N65="","",IF(P65=0,SUMIFS(Calcoli!$D$7:$D$21,Calcoli!$A$7:$A$21,C65),INDEX($T$5:$T$1004,P65)))</f>
        <v>7728.27</v>
      </c>
      <c r="S65">
        <f>IF(N65="","",IF(B65="Acquisto",Q65+N(D65),MAX(0,Q65-N(D65))))</f>
        <v>84</v>
      </c>
      <c r="T65">
        <f>IF(N65="","",IF(B65="Acquisto",R65+J65+N(G65),IF(Q65&lt;=0,0,R65*(1-MIN(1,N(D65)/Q65)))))</f>
        <v>7954.51</v>
      </c>
      <c r="U65" t="str">
        <f>IF(B65&lt;&gt;"Vendita","",J65-N(G65)-IF(Q65&lt;=0,0,R65*MIN(1,N(D65)/Q65)))</f>
        <v/>
      </c>
      <c r="V65" t="str">
        <f>IF(B65&lt;&gt;"Dividendo","",IF(Calcoli!$B$251=1,J65,L65))</f>
        <v/>
      </c>
      <c r="W65" t="str">
        <f>IF(AND(V65&lt;&gt;"",ISNUMBER(A65)),A65,"")</f>
        <v/>
      </c>
    </row>
    <row r="66">
      <c r="A66" s="134" t="n">
        <v>46239</v>
      </c>
      <c r="B66" s="116" t="inlineStr">
        <is>
          <t>Acquisto</t>
        </is>
      </c>
      <c r="C66" s="116" t="inlineStr">
        <is>
          <t>Azionario Emergenti</t>
        </is>
      </c>
      <c r="D66" s="121" t="n">
        <v>1</v>
      </c>
      <c r="E66" s="120" t="n">
        <v>44.02</v>
      </c>
      <c r="F66" s="120" t="n"/>
      <c r="G66" s="120" t="n">
        <v>1</v>
      </c>
      <c r="H66" s="120" t="n"/>
      <c r="I66" s="117" t="inlineStr">
        <is>
          <t>PAC mensile</t>
        </is>
      </c>
      <c r="J66" s="123">
        <f>IF(B66="","",IF(F66&lt;&gt;"",N(F66),ROUND(N(D66)*N(E66),2)))</f>
        <v>44.02</v>
      </c>
      <c r="K66" s="123">
        <f>IF(B66="","",IF(H66&lt;&gt;"",N(H66),IF(B66="Dividendo",ROUND(J66*IFERROR(INDEX(Calcoli!$V$7:$V$21,MATCH(C66,Calcoli!$A$7:$A$21,0)),0.26),2),IF(B66="Vendita",ROUND(MAX(0,U66)*IFERROR(INDEX(Calcoli!$V$7:$V$21,MATCH(C66,Calcoli!$A$7:$A$21,0)),0.26),2),0))))</f>
        <v>0</v>
      </c>
      <c r="L66" s="135">
        <f>IF(B66="","",IF(B66="Acquisto",-(J66+N(G66)),J66-N(G66)-K66))</f>
        <v>-45.02</v>
      </c>
      <c r="M66" s="127" t="str">
        <f>IF(B66="","",IF(ISNA(MATCH(C66,ETF!$A$7:$A$21,0)),"ETF?",IF(NOT(ISNUMBER(A66)),"Data?",IF(AND(B66&lt;&gt;"Dividendo",N(D66)&lt;=0),"Quote?",IF(AND(B66="Vendita",N(D66)&gt;N(Q66)+0.000001),"Quote?",IF(J66&lt;=0,"Importo?","✓"))))))</f>
        <v>✓</v>
      </c>
      <c r="N66">
        <f>IF(OR(B66="Acquisto",B66="Vendita"),COUNTIFS($C$5:C66,C66,$B$5:B66,"Acquisto")+COUNTIFS($C$5:C66,C66,$B$5:B66,"Vendita"),"")</f>
        <v>16</v>
      </c>
      <c r="O66" t="str">
        <f>IF(N66="","",C66&amp;"|"&amp;N66)</f>
        <v>Azionario Emergenti|16</v>
      </c>
      <c r="P66">
        <f>IF(N66="","",IF(N66=1,0,MATCH(C66&amp;"|"&amp;(N66-1),$O$5:$O$1004,0)))</f>
        <v>59</v>
      </c>
      <c r="Q66">
        <f>IF(N66="","",IF(P66=0,SUMIFS(Calcoli!$C$7:$C$21,Calcoli!$A$7:$A$21,C66),INDEX($S$5:$S$1004,P66)))</f>
        <v>36</v>
      </c>
      <c r="R66">
        <f>IF(N66="","",IF(P66=0,SUMIFS(Calcoli!$D$7:$D$21,Calcoli!$A$7:$A$21,C66),INDEX($T$5:$T$1004,P66)))</f>
        <v>1546.4</v>
      </c>
      <c r="S66">
        <f>IF(N66="","",IF(B66="Acquisto",Q66+N(D66),MAX(0,Q66-N(D66))))</f>
        <v>37</v>
      </c>
      <c r="T66">
        <f>IF(N66="","",IF(B66="Acquisto",R66+J66+N(G66),IF(Q66&lt;=0,0,R66*(1-MIN(1,N(D66)/Q66)))))</f>
        <v>1591.42</v>
      </c>
      <c r="U66" t="str">
        <f>IF(B66&lt;&gt;"Vendita","",J66-N(G66)-IF(Q66&lt;=0,0,R66*MIN(1,N(D66)/Q66)))</f>
        <v/>
      </c>
      <c r="V66" t="str">
        <f>IF(B66&lt;&gt;"Dividendo","",IF(Calcoli!$B$251=1,J66,L66))</f>
        <v/>
      </c>
      <c r="W66" t="str">
        <f>IF(AND(V66&lt;&gt;"",ISNUMBER(A66)),A66,"")</f>
        <v/>
      </c>
    </row>
    <row r="67">
      <c r="A67" s="134" t="n">
        <v>46239</v>
      </c>
      <c r="B67" s="116" t="inlineStr">
        <is>
          <t>Acquisto</t>
        </is>
      </c>
      <c r="C67" s="116" t="inlineStr">
        <is>
          <t>Titoli di Stato Euro</t>
        </is>
      </c>
      <c r="D67" s="121" t="n">
        <v>1</v>
      </c>
      <c r="E67" s="120" t="n">
        <v>105.62</v>
      </c>
      <c r="F67" s="120" t="n"/>
      <c r="G67" s="120" t="n">
        <v>1</v>
      </c>
      <c r="H67" s="120" t="n"/>
      <c r="I67" s="117" t="inlineStr">
        <is>
          <t>PAC mensile</t>
        </is>
      </c>
      <c r="J67" s="123">
        <f>IF(B67="","",IF(F67&lt;&gt;"",N(F67),ROUND(N(D67)*N(E67),2)))</f>
        <v>105.62</v>
      </c>
      <c r="K67" s="123">
        <f>IF(B67="","",IF(H67&lt;&gt;"",N(H67),IF(B67="Dividendo",ROUND(J67*IFERROR(INDEX(Calcoli!$V$7:$V$21,MATCH(C67,Calcoli!$A$7:$A$21,0)),0.26),2),IF(B67="Vendita",ROUND(MAX(0,U67)*IFERROR(INDEX(Calcoli!$V$7:$V$21,MATCH(C67,Calcoli!$A$7:$A$21,0)),0.26),2),0))))</f>
        <v>0</v>
      </c>
      <c r="L67" s="135">
        <f>IF(B67="","",IF(B67="Acquisto",-(J67+N(G67)),J67-N(G67)-K67))</f>
        <v>-106.62</v>
      </c>
      <c r="M67" s="127" t="str">
        <f>IF(B67="","",IF(ISNA(MATCH(C67,ETF!$A$7:$A$21,0)),"ETF?",IF(NOT(ISNUMBER(A67)),"Data?",IF(AND(B67&lt;&gt;"Dividendo",N(D67)&lt;=0),"Quote?",IF(AND(B67="Vendita",N(D67)&gt;N(Q67)+0.000001),"Quote?",IF(J67&lt;=0,"Importo?","✓"))))))</f>
        <v>✓</v>
      </c>
      <c r="N67">
        <f>IF(OR(B67="Acquisto",B67="Vendita"),COUNTIFS($C$5:C67,C67,$B$5:B67,"Acquisto")+COUNTIFS($C$5:C67,C67,$B$5:B67,"Vendita"),"")</f>
        <v>8</v>
      </c>
      <c r="O67" t="str">
        <f>IF(N67="","",C67&amp;"|"&amp;N67)</f>
        <v>Titoli di Stato Euro|8</v>
      </c>
      <c r="P67">
        <f>IF(N67="","",IF(N67=1,0,MATCH(C67&amp;"|"&amp;(N67-1),$O$5:$O$1004,0)))</f>
        <v>60</v>
      </c>
      <c r="Q67">
        <f>IF(N67="","",IF(P67=0,SUMIFS(Calcoli!$C$7:$C$21,Calcoli!$A$7:$A$21,C67),INDEX($S$5:$S$1004,P67)))</f>
        <v>39</v>
      </c>
      <c r="R67">
        <f>IF(N67="","",IF(P67=0,SUMIFS(Calcoli!$D$7:$D$21,Calcoli!$A$7:$A$21,C67),INDEX($T$5:$T$1004,P67)))</f>
        <v>3923.85</v>
      </c>
      <c r="S67">
        <f>IF(N67="","",IF(B67="Acquisto",Q67+N(D67),MAX(0,Q67-N(D67))))</f>
        <v>40</v>
      </c>
      <c r="T67">
        <f>IF(N67="","",IF(B67="Acquisto",R67+J67+N(G67),IF(Q67&lt;=0,0,R67*(1-MIN(1,N(D67)/Q67)))))</f>
        <v>4030.47</v>
      </c>
      <c r="U67" t="str">
        <f>IF(B67&lt;&gt;"Vendita","",J67-N(G67)-IF(Q67&lt;=0,0,R67*MIN(1,N(D67)/Q67)))</f>
        <v/>
      </c>
      <c r="V67" t="str">
        <f>IF(B67&lt;&gt;"Dividendo","",IF(Calcoli!$B$251=1,J67,L67))</f>
        <v/>
      </c>
      <c r="W67" t="str">
        <f>IF(AND(V67&lt;&gt;"",ISNUMBER(A67)),A67,"")</f>
        <v/>
      </c>
    </row>
    <row r="68">
      <c r="A68" s="134" t="n">
        <v>46270</v>
      </c>
      <c r="B68" s="116" t="inlineStr">
        <is>
          <t>Acquisto</t>
        </is>
      </c>
      <c r="C68" s="116" t="inlineStr">
        <is>
          <t>Azionario Mondo</t>
        </is>
      </c>
      <c r="D68" s="121" t="n">
        <v>3</v>
      </c>
      <c r="E68" s="120" t="n">
        <v>112.35</v>
      </c>
      <c r="F68" s="120" t="n"/>
      <c r="G68" s="120" t="n">
        <v>1</v>
      </c>
      <c r="H68" s="120" t="n"/>
      <c r="I68" s="117" t="inlineStr">
        <is>
          <t>PAC mensile</t>
        </is>
      </c>
      <c r="J68" s="123">
        <f>IF(B68="","",IF(F68&lt;&gt;"",N(F68),ROUND(N(D68)*N(E68),2)))</f>
        <v>337.05</v>
      </c>
      <c r="K68" s="123">
        <f>IF(B68="","",IF(H68&lt;&gt;"",N(H68),IF(B68="Dividendo",ROUND(J68*IFERROR(INDEX(Calcoli!$V$7:$V$21,MATCH(C68,Calcoli!$A$7:$A$21,0)),0.26),2),IF(B68="Vendita",ROUND(MAX(0,U68)*IFERROR(INDEX(Calcoli!$V$7:$V$21,MATCH(C68,Calcoli!$A$7:$A$21,0)),0.26),2),0))))</f>
        <v>0</v>
      </c>
      <c r="L68" s="135">
        <f>IF(B68="","",IF(B68="Acquisto",-(J68+N(G68)),J68-N(G68)-K68))</f>
        <v>-338.05</v>
      </c>
      <c r="M68" s="127" t="str">
        <f>IF(B68="","",IF(ISNA(MATCH(C68,ETF!$A$7:$A$21,0)),"ETF?",IF(NOT(ISNUMBER(A68)),"Data?",IF(AND(B68&lt;&gt;"Dividendo",N(D68)&lt;=0),"Quote?",IF(AND(B68="Vendita",N(D68)&gt;N(Q68)+0.000001),"Quote?",IF(J68&lt;=0,"Importo?","✓"))))))</f>
        <v>✓</v>
      </c>
      <c r="N68">
        <f>IF(OR(B68="Acquisto",B68="Vendita"),COUNTIFS($C$5:C68,C68,$B$5:B68,"Acquisto")+COUNTIFS($C$5:C68,C68,$B$5:B68,"Vendita"),"")</f>
        <v>19</v>
      </c>
      <c r="O68" t="str">
        <f>IF(N68="","",C68&amp;"|"&amp;N68)</f>
        <v>Azionario Mondo|19</v>
      </c>
      <c r="P68">
        <f>IF(N68="","",IF(N68=1,0,MATCH(C68&amp;"|"&amp;(N68-1),$O$5:$O$1004,0)))</f>
        <v>61</v>
      </c>
      <c r="Q68">
        <f>IF(N68="","",IF(P68=0,SUMIFS(Calcoli!$C$7:$C$21,Calcoli!$A$7:$A$21,C68),INDEX($S$5:$S$1004,P68)))</f>
        <v>84</v>
      </c>
      <c r="R68">
        <f>IF(N68="","",IF(P68=0,SUMIFS(Calcoli!$D$7:$D$21,Calcoli!$A$7:$A$21,C68),INDEX($T$5:$T$1004,P68)))</f>
        <v>7954.51</v>
      </c>
      <c r="S68">
        <f>IF(N68="","",IF(B68="Acquisto",Q68+N(D68),MAX(0,Q68-N(D68))))</f>
        <v>87</v>
      </c>
      <c r="T68">
        <f>IF(N68="","",IF(B68="Acquisto",R68+J68+N(G68),IF(Q68&lt;=0,0,R68*(1-MIN(1,N(D68)/Q68)))))</f>
        <v>8292.56</v>
      </c>
      <c r="U68" t="str">
        <f>IF(B68&lt;&gt;"Vendita","",J68-N(G68)-IF(Q68&lt;=0,0,R68*MIN(1,N(D68)/Q68)))</f>
        <v/>
      </c>
      <c r="V68" t="str">
        <f>IF(B68&lt;&gt;"Dividendo","",IF(Calcoli!$B$251=1,J68,L68))</f>
        <v/>
      </c>
      <c r="W68" t="str">
        <f>IF(AND(V68&lt;&gt;"",ISNUMBER(A68)),A68,"")</f>
        <v/>
      </c>
    </row>
    <row r="69">
      <c r="A69" s="134" t="n">
        <v>46280</v>
      </c>
      <c r="B69" s="116" t="inlineStr">
        <is>
          <t>Vendita</t>
        </is>
      </c>
      <c r="C69" s="116" t="inlineStr">
        <is>
          <t>Azionario Mondo</t>
        </is>
      </c>
      <c r="D69" s="121" t="n">
        <v>6</v>
      </c>
      <c r="E69" s="120" t="n">
        <v>112.35</v>
      </c>
      <c r="F69" s="120" t="n"/>
      <c r="G69" s="120" t="n">
        <v>1</v>
      </c>
      <c r="H69" s="120" t="n"/>
      <c r="I69" s="117" t="inlineStr">
        <is>
          <t>Prelievo per una spesa imprevista</t>
        </is>
      </c>
      <c r="J69" s="123">
        <f>IF(B69="","",IF(F69&lt;&gt;"",N(F69),ROUND(N(D69)*N(E69),2)))</f>
        <v>674.1</v>
      </c>
      <c r="K69" s="123">
        <f>IF(B69="","",IF(H69&lt;&gt;"",N(H69),IF(B69="Dividendo",ROUND(J69*IFERROR(INDEX(Calcoli!$V$7:$V$21,MATCH(C69,Calcoli!$A$7:$A$21,0)),0.26),2),IF(B69="Vendita",ROUND(MAX(0,U69)*IFERROR(INDEX(Calcoli!$V$7:$V$21,MATCH(C69,Calcoli!$A$7:$A$21,0)),0.26),2),0))))</f>
        <v>26.31</v>
      </c>
      <c r="L69" s="135">
        <f>IF(B69="","",IF(B69="Acquisto",-(J69+N(G69)),J69-N(G69)-K69))</f>
        <v>646.79</v>
      </c>
      <c r="M69" s="127" t="str">
        <f>IF(B69="","",IF(ISNA(MATCH(C69,ETF!$A$7:$A$21,0)),"ETF?",IF(NOT(ISNUMBER(A69)),"Data?",IF(AND(B69&lt;&gt;"Dividendo",N(D69)&lt;=0),"Quote?",IF(AND(B69="Vendita",N(D69)&gt;N(Q69)+0.000001),"Quote?",IF(J69&lt;=0,"Importo?","✓"))))))</f>
        <v>✓</v>
      </c>
      <c r="N69">
        <f>IF(OR(B69="Acquisto",B69="Vendita"),COUNTIFS($C$5:C69,C69,$B$5:B69,"Acquisto")+COUNTIFS($C$5:C69,C69,$B$5:B69,"Vendita"),"")</f>
        <v>20</v>
      </c>
      <c r="O69" t="str">
        <f>IF(N69="","",C69&amp;"|"&amp;N69)</f>
        <v>Azionario Mondo|20</v>
      </c>
      <c r="P69">
        <f>IF(N69="","",IF(N69=1,0,MATCH(C69&amp;"|"&amp;(N69-1),$O$5:$O$1004,0)))</f>
        <v>64</v>
      </c>
      <c r="Q69">
        <f>IF(N69="","",IF(P69=0,SUMIFS(Calcoli!$C$7:$C$21,Calcoli!$A$7:$A$21,C69),INDEX($S$5:$S$1004,P69)))</f>
        <v>87</v>
      </c>
      <c r="R69">
        <f>IF(N69="","",IF(P69=0,SUMIFS(Calcoli!$D$7:$D$21,Calcoli!$A$7:$A$21,C69),INDEX($T$5:$T$1004,P69)))</f>
        <v>8292.56</v>
      </c>
      <c r="S69">
        <f>IF(N69="","",IF(B69="Acquisto",Q69+N(D69),MAX(0,Q69-N(D69))))</f>
        <v>81</v>
      </c>
      <c r="T69">
        <f>IF(N69="","",IF(B69="Acquisto",R69+J69+N(G69),IF(Q69&lt;=0,0,R69*(1-MIN(1,N(D69)/Q69)))))</f>
        <v>7720.65931034483</v>
      </c>
      <c r="U69">
        <f>IF(B69&lt;&gt;"Vendita","",J69-N(G69)-IF(Q69&lt;=0,0,R69*MIN(1,N(D69)/Q69)))</f>
        <v>101.199310344828</v>
      </c>
      <c r="V69" t="str">
        <f>IF(B69&lt;&gt;"Dividendo","",IF(Calcoli!$B$251=1,J69,L69))</f>
        <v/>
      </c>
      <c r="W69" t="str">
        <f>IF(AND(V69&lt;&gt;"",ISNUMBER(A69)),A69,"")</f>
        <v/>
      </c>
    </row>
    <row r="70">
      <c r="A70" s="134" t="n">
        <v>46290</v>
      </c>
      <c r="B70" s="116" t="inlineStr">
        <is>
          <t>Dividendo</t>
        </is>
      </c>
      <c r="C70" s="116" t="inlineStr">
        <is>
          <t>Azionario Emergenti</t>
        </is>
      </c>
      <c r="D70" s="121" t="n">
        <v>37</v>
      </c>
      <c r="E70" s="120" t="n"/>
      <c r="F70" s="120" t="n">
        <v>8.880000000000001</v>
      </c>
      <c r="G70" s="120" t="n"/>
      <c r="H70" s="120" t="n"/>
      <c r="I70" s="117" t="inlineStr">
        <is>
          <t>Dividendo trimestrale</t>
        </is>
      </c>
      <c r="J70" s="123">
        <f>IF(B70="","",IF(F70&lt;&gt;"",N(F70),ROUND(N(D70)*N(E70),2)))</f>
        <v>8.88</v>
      </c>
      <c r="K70" s="123">
        <f>IF(B70="","",IF(H70&lt;&gt;"",N(H70),IF(B70="Dividendo",ROUND(J70*IFERROR(INDEX(Calcoli!$V$7:$V$21,MATCH(C70,Calcoli!$A$7:$A$21,0)),0.26),2),IF(B70="Vendita",ROUND(MAX(0,U70)*IFERROR(INDEX(Calcoli!$V$7:$V$21,MATCH(C70,Calcoli!$A$7:$A$21,0)),0.26),2),0))))</f>
        <v>2.31</v>
      </c>
      <c r="L70" s="135">
        <f>IF(B70="","",IF(B70="Acquisto",-(J70+N(G70)),J70-N(G70)-K70))</f>
        <v>6.57</v>
      </c>
      <c r="M70" s="127" t="str">
        <f>IF(B70="","",IF(ISNA(MATCH(C70,ETF!$A$7:$A$21,0)),"ETF?",IF(NOT(ISNUMBER(A70)),"Data?",IF(AND(B70&lt;&gt;"Dividendo",N(D70)&lt;=0),"Quote?",IF(AND(B70="Vendita",N(D70)&gt;N(Q70)+0.000001),"Quote?",IF(J70&lt;=0,"Importo?","✓"))))))</f>
        <v>✓</v>
      </c>
      <c r="N70" t="str">
        <f>IF(OR(B70="Acquisto",B70="Vendita"),COUNTIFS($C$5:C70,C70,$B$5:B70,"Acquisto")+COUNTIFS($C$5:C70,C70,$B$5:B70,"Vendita"),"")</f>
        <v/>
      </c>
      <c r="O70" t="str">
        <f>IF(N70="","",C70&amp;"|"&amp;N70)</f>
        <v/>
      </c>
      <c r="P70" t="str">
        <f>IF(N70="","",IF(N70=1,0,MATCH(C70&amp;"|"&amp;(N70-1),$O$5:$O$1004,0)))</f>
        <v/>
      </c>
      <c r="Q70" t="str">
        <f>IF(N70="","",IF(P70=0,SUMIFS(Calcoli!$C$7:$C$21,Calcoli!$A$7:$A$21,C70),INDEX($S$5:$S$1004,P70)))</f>
        <v/>
      </c>
      <c r="R70" t="str">
        <f>IF(N70="","",IF(P70=0,SUMIFS(Calcoli!$D$7:$D$21,Calcoli!$A$7:$A$21,C70),INDEX($T$5:$T$1004,P70)))</f>
        <v/>
      </c>
      <c r="S70" t="str">
        <f>IF(N70="","",IF(B70="Acquisto",Q70+N(D70),MAX(0,Q70-N(D70))))</f>
        <v/>
      </c>
      <c r="T70" t="str">
        <f>IF(N70="","",IF(B70="Acquisto",R70+J70+N(G70),IF(Q70&lt;=0,0,R70*(1-MIN(1,N(D70)/Q70)))))</f>
        <v/>
      </c>
      <c r="U70" t="str">
        <f>IF(B70&lt;&gt;"Vendita","",J70-N(G70)-IF(Q70&lt;=0,0,R70*MIN(1,N(D70)/Q70)))</f>
        <v/>
      </c>
      <c r="V70">
        <f>IF(B70&lt;&gt;"Dividendo","",IF(Calcoli!$B$251=1,J70,L70))</f>
        <v>6.57</v>
      </c>
      <c r="W70">
        <f>IF(AND(V70&lt;&gt;"",ISNUMBER(A70)),A70,"")</f>
        <v>46290.0</v>
      </c>
    </row>
    <row r="71">
      <c r="A71" s="134" t="n">
        <v>46300</v>
      </c>
      <c r="B71" s="116" t="inlineStr">
        <is>
          <t>Acquisto</t>
        </is>
      </c>
      <c r="C71" s="116" t="inlineStr">
        <is>
          <t>Azionario Mondo</t>
        </is>
      </c>
      <c r="D71" s="121" t="n">
        <v>2</v>
      </c>
      <c r="E71" s="120" t="n">
        <v>113.04</v>
      </c>
      <c r="F71" s="120" t="n"/>
      <c r="G71" s="120" t="n">
        <v>1</v>
      </c>
      <c r="H71" s="120" t="n"/>
      <c r="I71" s="117" t="inlineStr">
        <is>
          <t>PAC mensile</t>
        </is>
      </c>
      <c r="J71" s="123">
        <f>IF(B71="","",IF(F71&lt;&gt;"",N(F71),ROUND(N(D71)*N(E71),2)))</f>
        <v>226.08</v>
      </c>
      <c r="K71" s="123">
        <f>IF(B71="","",IF(H71&lt;&gt;"",N(H71),IF(B71="Dividendo",ROUND(J71*IFERROR(INDEX(Calcoli!$V$7:$V$21,MATCH(C71,Calcoli!$A$7:$A$21,0)),0.26),2),IF(B71="Vendita",ROUND(MAX(0,U71)*IFERROR(INDEX(Calcoli!$V$7:$V$21,MATCH(C71,Calcoli!$A$7:$A$21,0)),0.26),2),0))))</f>
        <v>0</v>
      </c>
      <c r="L71" s="135">
        <f>IF(B71="","",IF(B71="Acquisto",-(J71+N(G71)),J71-N(G71)-K71))</f>
        <v>-227.08</v>
      </c>
      <c r="M71" s="127" t="str">
        <f>IF(B71="","",IF(ISNA(MATCH(C71,ETF!$A$7:$A$21,0)),"ETF?",IF(NOT(ISNUMBER(A71)),"Data?",IF(AND(B71&lt;&gt;"Dividendo",N(D71)&lt;=0),"Quote?",IF(AND(B71="Vendita",N(D71)&gt;N(Q71)+0.000001),"Quote?",IF(J71&lt;=0,"Importo?","✓"))))))</f>
        <v>✓</v>
      </c>
      <c r="N71">
        <f>IF(OR(B71="Acquisto",B71="Vendita"),COUNTIFS($C$5:C71,C71,$B$5:B71,"Acquisto")+COUNTIFS($C$5:C71,C71,$B$5:B71,"Vendita"),"")</f>
        <v>21</v>
      </c>
      <c r="O71" t="str">
        <f>IF(N71="","",C71&amp;"|"&amp;N71)</f>
        <v>Azionario Mondo|21</v>
      </c>
      <c r="P71">
        <f>IF(N71="","",IF(N71=1,0,MATCH(C71&amp;"|"&amp;(N71-1),$O$5:$O$1004,0)))</f>
        <v>65</v>
      </c>
      <c r="Q71">
        <f>IF(N71="","",IF(P71=0,SUMIFS(Calcoli!$C$7:$C$21,Calcoli!$A$7:$A$21,C71),INDEX($S$5:$S$1004,P71)))</f>
        <v>81</v>
      </c>
      <c r="R71">
        <f>IF(N71="","",IF(P71=0,SUMIFS(Calcoli!$D$7:$D$21,Calcoli!$A$7:$A$21,C71),INDEX($T$5:$T$1004,P71)))</f>
        <v>7720.65931034483</v>
      </c>
      <c r="S71">
        <f>IF(N71="","",IF(B71="Acquisto",Q71+N(D71),MAX(0,Q71-N(D71))))</f>
        <v>83</v>
      </c>
      <c r="T71">
        <f>IF(N71="","",IF(B71="Acquisto",R71+J71+N(G71),IF(Q71&lt;=0,0,R71*(1-MIN(1,N(D71)/Q71)))))</f>
        <v>7947.73931034483</v>
      </c>
      <c r="U71" t="str">
        <f>IF(B71&lt;&gt;"Vendita","",J71-N(G71)-IF(Q71&lt;=0,0,R71*MIN(1,N(D71)/Q71)))</f>
        <v/>
      </c>
      <c r="V71" t="str">
        <f>IF(B71&lt;&gt;"Dividendo","",IF(Calcoli!$B$251=1,J71,L71))</f>
        <v/>
      </c>
      <c r="W71" t="str">
        <f>IF(AND(V71&lt;&gt;"",ISNUMBER(A71)),A71,"")</f>
        <v/>
      </c>
    </row>
    <row r="72">
      <c r="A72" s="134" t="n">
        <v>46300</v>
      </c>
      <c r="B72" s="116" t="inlineStr">
        <is>
          <t>Acquisto</t>
        </is>
      </c>
      <c r="C72" s="116" t="inlineStr">
        <is>
          <t>Azionario Emergenti</t>
        </is>
      </c>
      <c r="D72" s="121" t="n">
        <v>1</v>
      </c>
      <c r="E72" s="120" t="n">
        <v>43.9</v>
      </c>
      <c r="F72" s="120" t="n"/>
      <c r="G72" s="120" t="n">
        <v>1</v>
      </c>
      <c r="H72" s="120" t="n"/>
      <c r="I72" s="117" t="inlineStr">
        <is>
          <t>PAC mensile</t>
        </is>
      </c>
      <c r="J72" s="123">
        <f>IF(B72="","",IF(F72&lt;&gt;"",N(F72),ROUND(N(D72)*N(E72),2)))</f>
        <v>43.9</v>
      </c>
      <c r="K72" s="123">
        <f>IF(B72="","",IF(H72&lt;&gt;"",N(H72),IF(B72="Dividendo",ROUND(J72*IFERROR(INDEX(Calcoli!$V$7:$V$21,MATCH(C72,Calcoli!$A$7:$A$21,0)),0.26),2),IF(B72="Vendita",ROUND(MAX(0,U72)*IFERROR(INDEX(Calcoli!$V$7:$V$21,MATCH(C72,Calcoli!$A$7:$A$21,0)),0.26),2),0))))</f>
        <v>0</v>
      </c>
      <c r="L72" s="135">
        <f>IF(B72="","",IF(B72="Acquisto",-(J72+N(G72)),J72-N(G72)-K72))</f>
        <v>-44.9</v>
      </c>
      <c r="M72" s="127" t="str">
        <f>IF(B72="","",IF(ISNA(MATCH(C72,ETF!$A$7:$A$21,0)),"ETF?",IF(NOT(ISNUMBER(A72)),"Data?",IF(AND(B72&lt;&gt;"Dividendo",N(D72)&lt;=0),"Quote?",IF(AND(B72="Vendita",N(D72)&gt;N(Q72)+0.000001),"Quote?",IF(J72&lt;=0,"Importo?","✓"))))))</f>
        <v>✓</v>
      </c>
      <c r="N72">
        <f>IF(OR(B72="Acquisto",B72="Vendita"),COUNTIFS($C$5:C72,C72,$B$5:B72,"Acquisto")+COUNTIFS($C$5:C72,C72,$B$5:B72,"Vendita"),"")</f>
        <v>17</v>
      </c>
      <c r="O72" t="str">
        <f>IF(N72="","",C72&amp;"|"&amp;N72)</f>
        <v>Azionario Emergenti|17</v>
      </c>
      <c r="P72">
        <f>IF(N72="","",IF(N72=1,0,MATCH(C72&amp;"|"&amp;(N72-1),$O$5:$O$1004,0)))</f>
        <v>62</v>
      </c>
      <c r="Q72">
        <f>IF(N72="","",IF(P72=0,SUMIFS(Calcoli!$C$7:$C$21,Calcoli!$A$7:$A$21,C72),INDEX($S$5:$S$1004,P72)))</f>
        <v>37</v>
      </c>
      <c r="R72">
        <f>IF(N72="","",IF(P72=0,SUMIFS(Calcoli!$D$7:$D$21,Calcoli!$A$7:$A$21,C72),INDEX($T$5:$T$1004,P72)))</f>
        <v>1591.42</v>
      </c>
      <c r="S72">
        <f>IF(N72="","",IF(B72="Acquisto",Q72+N(D72),MAX(0,Q72-N(D72))))</f>
        <v>38</v>
      </c>
      <c r="T72">
        <f>IF(N72="","",IF(B72="Acquisto",R72+J72+N(G72),IF(Q72&lt;=0,0,R72*(1-MIN(1,N(D72)/Q72)))))</f>
        <v>1636.32</v>
      </c>
      <c r="U72" t="str">
        <f>IF(B72&lt;&gt;"Vendita","",J72-N(G72)-IF(Q72&lt;=0,0,R72*MIN(1,N(D72)/Q72)))</f>
        <v/>
      </c>
      <c r="V72" t="str">
        <f>IF(B72&lt;&gt;"Dividendo","",IF(Calcoli!$B$251=1,J72,L72))</f>
        <v/>
      </c>
      <c r="W72" t="str">
        <f>IF(AND(V72&lt;&gt;"",ISNUMBER(A72)),A72,"")</f>
        <v/>
      </c>
    </row>
    <row r="73">
      <c r="A73" s="134" t="n">
        <v>46300</v>
      </c>
      <c r="B73" s="116" t="inlineStr">
        <is>
          <t>Acquisto</t>
        </is>
      </c>
      <c r="C73" s="116" t="inlineStr">
        <is>
          <t>Titoli di Stato Euro</t>
        </is>
      </c>
      <c r="D73" s="121" t="n">
        <v>1</v>
      </c>
      <c r="E73" s="120" t="n">
        <v>104.84</v>
      </c>
      <c r="F73" s="120" t="n"/>
      <c r="G73" s="120" t="n">
        <v>1</v>
      </c>
      <c r="H73" s="120" t="n"/>
      <c r="I73" s="117" t="inlineStr">
        <is>
          <t>PAC mensile</t>
        </is>
      </c>
      <c r="J73" s="123">
        <f>IF(B73="","",IF(F73&lt;&gt;"",N(F73),ROUND(N(D73)*N(E73),2)))</f>
        <v>104.84</v>
      </c>
      <c r="K73" s="123">
        <f>IF(B73="","",IF(H73&lt;&gt;"",N(H73),IF(B73="Dividendo",ROUND(J73*IFERROR(INDEX(Calcoli!$V$7:$V$21,MATCH(C73,Calcoli!$A$7:$A$21,0)),0.26),2),IF(B73="Vendita",ROUND(MAX(0,U73)*IFERROR(INDEX(Calcoli!$V$7:$V$21,MATCH(C73,Calcoli!$A$7:$A$21,0)),0.26),2),0))))</f>
        <v>0</v>
      </c>
      <c r="L73" s="135">
        <f>IF(B73="","",IF(B73="Acquisto",-(J73+N(G73)),J73-N(G73)-K73))</f>
        <v>-105.84</v>
      </c>
      <c r="M73" s="127" t="str">
        <f>IF(B73="","",IF(ISNA(MATCH(C73,ETF!$A$7:$A$21,0)),"ETF?",IF(NOT(ISNUMBER(A73)),"Data?",IF(AND(B73&lt;&gt;"Dividendo",N(D73)&lt;=0),"Quote?",IF(AND(B73="Vendita",N(D73)&gt;N(Q73)+0.000001),"Quote?",IF(J73&lt;=0,"Importo?","✓"))))))</f>
        <v>✓</v>
      </c>
      <c r="N73">
        <f>IF(OR(B73="Acquisto",B73="Vendita"),COUNTIFS($C$5:C73,C73,$B$5:B73,"Acquisto")+COUNTIFS($C$5:C73,C73,$B$5:B73,"Vendita"),"")</f>
        <v>9</v>
      </c>
      <c r="O73" t="str">
        <f>IF(N73="","",C73&amp;"|"&amp;N73)</f>
        <v>Titoli di Stato Euro|9</v>
      </c>
      <c r="P73">
        <f>IF(N73="","",IF(N73=1,0,MATCH(C73&amp;"|"&amp;(N73-1),$O$5:$O$1004,0)))</f>
        <v>63</v>
      </c>
      <c r="Q73">
        <f>IF(N73="","",IF(P73=0,SUMIFS(Calcoli!$C$7:$C$21,Calcoli!$A$7:$A$21,C73),INDEX($S$5:$S$1004,P73)))</f>
        <v>40</v>
      </c>
      <c r="R73">
        <f>IF(N73="","",IF(P73=0,SUMIFS(Calcoli!$D$7:$D$21,Calcoli!$A$7:$A$21,C73),INDEX($T$5:$T$1004,P73)))</f>
        <v>4030.47</v>
      </c>
      <c r="S73">
        <f>IF(N73="","",IF(B73="Acquisto",Q73+N(D73),MAX(0,Q73-N(D73))))</f>
        <v>41</v>
      </c>
      <c r="T73">
        <f>IF(N73="","",IF(B73="Acquisto",R73+J73+N(G73),IF(Q73&lt;=0,0,R73*(1-MIN(1,N(D73)/Q73)))))</f>
        <v>4136.31</v>
      </c>
      <c r="U73" t="str">
        <f>IF(B73&lt;&gt;"Vendita","",J73-N(G73)-IF(Q73&lt;=0,0,R73*MIN(1,N(D73)/Q73)))</f>
        <v/>
      </c>
      <c r="V73" t="str">
        <f>IF(B73&lt;&gt;"Dividendo","",IF(Calcoli!$B$251=1,J73,L73))</f>
        <v/>
      </c>
      <c r="W73" t="str">
        <f>IF(AND(V73&lt;&gt;"",ISNUMBER(A73)),A73,"")</f>
        <v/>
      </c>
    </row>
    <row r="74">
      <c r="A74" s="134" t="n"/>
      <c r="B74" s="116" t="n"/>
      <c r="C74" s="116" t="n"/>
      <c r="D74" s="121" t="n"/>
      <c r="E74" s="120" t="n"/>
      <c r="F74" s="120" t="n"/>
      <c r="G74" s="120" t="n"/>
      <c r="H74" s="120" t="n"/>
      <c r="I74" s="117" t="n"/>
      <c r="J74" s="123" t="str">
        <f>IF(B74="","",IF(F74&lt;&gt;"",N(F74),ROUND(N(D74)*N(E74),2)))</f>
        <v/>
      </c>
      <c r="K74" s="123" t="str">
        <f>IF(B74="","",IF(H74&lt;&gt;"",N(H74),IF(B74="Dividendo",ROUND(J74*IFERROR(INDEX(Calcoli!$V$7:$V$21,MATCH(C74,Calcoli!$A$7:$A$21,0)),0.26),2),IF(B74="Vendita",ROUND(MAX(0,U74)*IFERROR(INDEX(Calcoli!$V$7:$V$21,MATCH(C74,Calcoli!$A$7:$A$21,0)),0.26),2),0))))</f>
        <v/>
      </c>
      <c r="L74" s="135" t="str">
        <f>IF(B74="","",IF(B74="Acquisto",-(J74+N(G74)),J74-N(G74)-K74))</f>
        <v/>
      </c>
      <c r="M74" s="127" t="str">
        <f>IF(B74="","",IF(ISNA(MATCH(C74,ETF!$A$7:$A$21,0)),"ETF?",IF(NOT(ISNUMBER(A74)),"Data?",IF(AND(B74&lt;&gt;"Dividendo",N(D74)&lt;=0),"Quote?",IF(AND(B74="Vendita",N(D74)&gt;N(Q74)+0.000001),"Quote?",IF(J74&lt;=0,"Importo?","✓"))))))</f>
        <v/>
      </c>
      <c r="N74" t="str">
        <f>IF(OR(B74="Acquisto",B74="Vendita"),COUNTIFS($C$5:C74,C74,$B$5:B74,"Acquisto")+COUNTIFS($C$5:C74,C74,$B$5:B74,"Vendita"),"")</f>
        <v/>
      </c>
      <c r="O74" t="str">
        <f>IF(N74="","",C74&amp;"|"&amp;N74)</f>
        <v/>
      </c>
      <c r="P74" t="str">
        <f>IF(N74="","",IF(N74=1,0,MATCH(C74&amp;"|"&amp;(N74-1),$O$5:$O$1004,0)))</f>
        <v/>
      </c>
      <c r="Q74" t="str">
        <f>IF(N74="","",IF(P74=0,SUMIFS(Calcoli!$C$7:$C$21,Calcoli!$A$7:$A$21,C74),INDEX($S$5:$S$1004,P74)))</f>
        <v/>
      </c>
      <c r="R74" t="str">
        <f>IF(N74="","",IF(P74=0,SUMIFS(Calcoli!$D$7:$D$21,Calcoli!$A$7:$A$21,C74),INDEX($T$5:$T$1004,P74)))</f>
        <v/>
      </c>
      <c r="S74" t="str">
        <f>IF(N74="","",IF(B74="Acquisto",Q74+N(D74),MAX(0,Q74-N(D74))))</f>
        <v/>
      </c>
      <c r="T74" t="str">
        <f>IF(N74="","",IF(B74="Acquisto",R74+J74+N(G74),IF(Q74&lt;=0,0,R74*(1-MIN(1,N(D74)/Q74)))))</f>
        <v/>
      </c>
      <c r="U74" t="str">
        <f>IF(B74&lt;&gt;"Vendita","",J74-N(G74)-IF(Q74&lt;=0,0,R74*MIN(1,N(D74)/Q74)))</f>
        <v/>
      </c>
      <c r="V74" t="str">
        <f>IF(B74&lt;&gt;"Dividendo","",IF(Calcoli!$B$251=1,J74,L74))</f>
        <v/>
      </c>
      <c r="W74" t="str">
        <f>IF(AND(V74&lt;&gt;"",ISNUMBER(A74)),A74,"")</f>
        <v/>
      </c>
    </row>
    <row r="75">
      <c r="A75" s="134" t="n"/>
      <c r="B75" s="116" t="n"/>
      <c r="C75" s="116" t="n"/>
      <c r="D75" s="121" t="n"/>
      <c r="E75" s="120" t="n"/>
      <c r="F75" s="120" t="n"/>
      <c r="G75" s="120" t="n"/>
      <c r="H75" s="120" t="n"/>
      <c r="I75" s="117" t="n"/>
      <c r="J75" s="123" t="str">
        <f>IF(B75="","",IF(F75&lt;&gt;"",N(F75),ROUND(N(D75)*N(E75),2)))</f>
        <v/>
      </c>
      <c r="K75" s="123" t="str">
        <f>IF(B75="","",IF(H75&lt;&gt;"",N(H75),IF(B75="Dividendo",ROUND(J75*IFERROR(INDEX(Calcoli!$V$7:$V$21,MATCH(C75,Calcoli!$A$7:$A$21,0)),0.26),2),IF(B75="Vendita",ROUND(MAX(0,U75)*IFERROR(INDEX(Calcoli!$V$7:$V$21,MATCH(C75,Calcoli!$A$7:$A$21,0)),0.26),2),0))))</f>
        <v/>
      </c>
      <c r="L75" s="135" t="str">
        <f>IF(B75="","",IF(B75="Acquisto",-(J75+N(G75)),J75-N(G75)-K75))</f>
        <v/>
      </c>
      <c r="M75" s="127" t="str">
        <f>IF(B75="","",IF(ISNA(MATCH(C75,ETF!$A$7:$A$21,0)),"ETF?",IF(NOT(ISNUMBER(A75)),"Data?",IF(AND(B75&lt;&gt;"Dividendo",N(D75)&lt;=0),"Quote?",IF(AND(B75="Vendita",N(D75)&gt;N(Q75)+0.000001),"Quote?",IF(J75&lt;=0,"Importo?","✓"))))))</f>
        <v/>
      </c>
      <c r="N75" t="str">
        <f>IF(OR(B75="Acquisto",B75="Vendita"),COUNTIFS($C$5:C75,C75,$B$5:B75,"Acquisto")+COUNTIFS($C$5:C75,C75,$B$5:B75,"Vendita"),"")</f>
        <v/>
      </c>
      <c r="O75" t="str">
        <f>IF(N75="","",C75&amp;"|"&amp;N75)</f>
        <v/>
      </c>
      <c r="P75" t="str">
        <f>IF(N75="","",IF(N75=1,0,MATCH(C75&amp;"|"&amp;(N75-1),$O$5:$O$1004,0)))</f>
        <v/>
      </c>
      <c r="Q75" t="str">
        <f>IF(N75="","",IF(P75=0,SUMIFS(Calcoli!$C$7:$C$21,Calcoli!$A$7:$A$21,C75),INDEX($S$5:$S$1004,P75)))</f>
        <v/>
      </c>
      <c r="R75" t="str">
        <f>IF(N75="","",IF(P75=0,SUMIFS(Calcoli!$D$7:$D$21,Calcoli!$A$7:$A$21,C75),INDEX($T$5:$T$1004,P75)))</f>
        <v/>
      </c>
      <c r="S75" t="str">
        <f>IF(N75="","",IF(B75="Acquisto",Q75+N(D75),MAX(0,Q75-N(D75))))</f>
        <v/>
      </c>
      <c r="T75" t="str">
        <f>IF(N75="","",IF(B75="Acquisto",R75+J75+N(G75),IF(Q75&lt;=0,0,R75*(1-MIN(1,N(D75)/Q75)))))</f>
        <v/>
      </c>
      <c r="U75" t="str">
        <f>IF(B75&lt;&gt;"Vendita","",J75-N(G75)-IF(Q75&lt;=0,0,R75*MIN(1,N(D75)/Q75)))</f>
        <v/>
      </c>
      <c r="V75" t="str">
        <f>IF(B75&lt;&gt;"Dividendo","",IF(Calcoli!$B$251=1,J75,L75))</f>
        <v/>
      </c>
      <c r="W75" t="str">
        <f>IF(AND(V75&lt;&gt;"",ISNUMBER(A75)),A75,"")</f>
        <v/>
      </c>
    </row>
    <row r="76">
      <c r="A76" s="134" t="n"/>
      <c r="B76" s="116" t="n"/>
      <c r="C76" s="116" t="n"/>
      <c r="D76" s="121" t="n"/>
      <c r="E76" s="120" t="n"/>
      <c r="F76" s="120" t="n"/>
      <c r="G76" s="120" t="n"/>
      <c r="H76" s="120" t="n"/>
      <c r="I76" s="117" t="n"/>
      <c r="J76" s="123" t="str">
        <f>IF(B76="","",IF(F76&lt;&gt;"",N(F76),ROUND(N(D76)*N(E76),2)))</f>
        <v/>
      </c>
      <c r="K76" s="123" t="str">
        <f>IF(B76="","",IF(H76&lt;&gt;"",N(H76),IF(B76="Dividendo",ROUND(J76*IFERROR(INDEX(Calcoli!$V$7:$V$21,MATCH(C76,Calcoli!$A$7:$A$21,0)),0.26),2),IF(B76="Vendita",ROUND(MAX(0,U76)*IFERROR(INDEX(Calcoli!$V$7:$V$21,MATCH(C76,Calcoli!$A$7:$A$21,0)),0.26),2),0))))</f>
        <v/>
      </c>
      <c r="L76" s="135" t="str">
        <f>IF(B76="","",IF(B76="Acquisto",-(J76+N(G76)),J76-N(G76)-K76))</f>
        <v/>
      </c>
      <c r="M76" s="127" t="str">
        <f>IF(B76="","",IF(ISNA(MATCH(C76,ETF!$A$7:$A$21,0)),"ETF?",IF(NOT(ISNUMBER(A76)),"Data?",IF(AND(B76&lt;&gt;"Dividendo",N(D76)&lt;=0),"Quote?",IF(AND(B76="Vendita",N(D76)&gt;N(Q76)+0.000001),"Quote?",IF(J76&lt;=0,"Importo?","✓"))))))</f>
        <v/>
      </c>
      <c r="N76" t="str">
        <f>IF(OR(B76="Acquisto",B76="Vendita"),COUNTIFS($C$5:C76,C76,$B$5:B76,"Acquisto")+COUNTIFS($C$5:C76,C76,$B$5:B76,"Vendita"),"")</f>
        <v/>
      </c>
      <c r="O76" t="str">
        <f>IF(N76="","",C76&amp;"|"&amp;N76)</f>
        <v/>
      </c>
      <c r="P76" t="str">
        <f>IF(N76="","",IF(N76=1,0,MATCH(C76&amp;"|"&amp;(N76-1),$O$5:$O$1004,0)))</f>
        <v/>
      </c>
      <c r="Q76" t="str">
        <f>IF(N76="","",IF(P76=0,SUMIFS(Calcoli!$C$7:$C$21,Calcoli!$A$7:$A$21,C76),INDEX($S$5:$S$1004,P76)))</f>
        <v/>
      </c>
      <c r="R76" t="str">
        <f>IF(N76="","",IF(P76=0,SUMIFS(Calcoli!$D$7:$D$21,Calcoli!$A$7:$A$21,C76),INDEX($T$5:$T$1004,P76)))</f>
        <v/>
      </c>
      <c r="S76" t="str">
        <f>IF(N76="","",IF(B76="Acquisto",Q76+N(D76),MAX(0,Q76-N(D76))))</f>
        <v/>
      </c>
      <c r="T76" t="str">
        <f>IF(N76="","",IF(B76="Acquisto",R76+J76+N(G76),IF(Q76&lt;=0,0,R76*(1-MIN(1,N(D76)/Q76)))))</f>
        <v/>
      </c>
      <c r="U76" t="str">
        <f>IF(B76&lt;&gt;"Vendita","",J76-N(G76)-IF(Q76&lt;=0,0,R76*MIN(1,N(D76)/Q76)))</f>
        <v/>
      </c>
      <c r="V76" t="str">
        <f>IF(B76&lt;&gt;"Dividendo","",IF(Calcoli!$B$251=1,J76,L76))</f>
        <v/>
      </c>
      <c r="W76" t="str">
        <f>IF(AND(V76&lt;&gt;"",ISNUMBER(A76)),A76,"")</f>
        <v/>
      </c>
    </row>
    <row r="77">
      <c r="A77" s="134" t="n"/>
      <c r="B77" s="116" t="n"/>
      <c r="C77" s="116" t="n"/>
      <c r="D77" s="121" t="n"/>
      <c r="E77" s="120" t="n"/>
      <c r="F77" s="120" t="n"/>
      <c r="G77" s="120" t="n"/>
      <c r="H77" s="120" t="n"/>
      <c r="I77" s="117" t="n"/>
      <c r="J77" s="123" t="str">
        <f>IF(B77="","",IF(F77&lt;&gt;"",N(F77),ROUND(N(D77)*N(E77),2)))</f>
        <v/>
      </c>
      <c r="K77" s="123" t="str">
        <f>IF(B77="","",IF(H77&lt;&gt;"",N(H77),IF(B77="Dividendo",ROUND(J77*IFERROR(INDEX(Calcoli!$V$7:$V$21,MATCH(C77,Calcoli!$A$7:$A$21,0)),0.26),2),IF(B77="Vendita",ROUND(MAX(0,U77)*IFERROR(INDEX(Calcoli!$V$7:$V$21,MATCH(C77,Calcoli!$A$7:$A$21,0)),0.26),2),0))))</f>
        <v/>
      </c>
      <c r="L77" s="135" t="str">
        <f>IF(B77="","",IF(B77="Acquisto",-(J77+N(G77)),J77-N(G77)-K77))</f>
        <v/>
      </c>
      <c r="M77" s="127" t="str">
        <f>IF(B77="","",IF(ISNA(MATCH(C77,ETF!$A$7:$A$21,0)),"ETF?",IF(NOT(ISNUMBER(A77)),"Data?",IF(AND(B77&lt;&gt;"Dividendo",N(D77)&lt;=0),"Quote?",IF(AND(B77="Vendita",N(D77)&gt;N(Q77)+0.000001),"Quote?",IF(J77&lt;=0,"Importo?","✓"))))))</f>
        <v/>
      </c>
      <c r="N77" t="str">
        <f>IF(OR(B77="Acquisto",B77="Vendita"),COUNTIFS($C$5:C77,C77,$B$5:B77,"Acquisto")+COUNTIFS($C$5:C77,C77,$B$5:B77,"Vendita"),"")</f>
        <v/>
      </c>
      <c r="O77" t="str">
        <f>IF(N77="","",C77&amp;"|"&amp;N77)</f>
        <v/>
      </c>
      <c r="P77" t="str">
        <f>IF(N77="","",IF(N77=1,0,MATCH(C77&amp;"|"&amp;(N77-1),$O$5:$O$1004,0)))</f>
        <v/>
      </c>
      <c r="Q77" t="str">
        <f>IF(N77="","",IF(P77=0,SUMIFS(Calcoli!$C$7:$C$21,Calcoli!$A$7:$A$21,C77),INDEX($S$5:$S$1004,P77)))</f>
        <v/>
      </c>
      <c r="R77" t="str">
        <f>IF(N77="","",IF(P77=0,SUMIFS(Calcoli!$D$7:$D$21,Calcoli!$A$7:$A$21,C77),INDEX($T$5:$T$1004,P77)))</f>
        <v/>
      </c>
      <c r="S77" t="str">
        <f>IF(N77="","",IF(B77="Acquisto",Q77+N(D77),MAX(0,Q77-N(D77))))</f>
        <v/>
      </c>
      <c r="T77" t="str">
        <f>IF(N77="","",IF(B77="Acquisto",R77+J77+N(G77),IF(Q77&lt;=0,0,R77*(1-MIN(1,N(D77)/Q77)))))</f>
        <v/>
      </c>
      <c r="U77" t="str">
        <f>IF(B77&lt;&gt;"Vendita","",J77-N(G77)-IF(Q77&lt;=0,0,R77*MIN(1,N(D77)/Q77)))</f>
        <v/>
      </c>
      <c r="V77" t="str">
        <f>IF(B77&lt;&gt;"Dividendo","",IF(Calcoli!$B$251=1,J77,L77))</f>
        <v/>
      </c>
      <c r="W77" t="str">
        <f>IF(AND(V77&lt;&gt;"",ISNUMBER(A77)),A77,"")</f>
        <v/>
      </c>
    </row>
    <row r="78">
      <c r="A78" s="134" t="n"/>
      <c r="B78" s="116" t="n"/>
      <c r="C78" s="116" t="n"/>
      <c r="D78" s="121" t="n"/>
      <c r="E78" s="120" t="n"/>
      <c r="F78" s="120" t="n"/>
      <c r="G78" s="120" t="n"/>
      <c r="H78" s="120" t="n"/>
      <c r="I78" s="117" t="n"/>
      <c r="J78" s="123" t="str">
        <f>IF(B78="","",IF(F78&lt;&gt;"",N(F78),ROUND(N(D78)*N(E78),2)))</f>
        <v/>
      </c>
      <c r="K78" s="123" t="str">
        <f>IF(B78="","",IF(H78&lt;&gt;"",N(H78),IF(B78="Dividendo",ROUND(J78*IFERROR(INDEX(Calcoli!$V$7:$V$21,MATCH(C78,Calcoli!$A$7:$A$21,0)),0.26),2),IF(B78="Vendita",ROUND(MAX(0,U78)*IFERROR(INDEX(Calcoli!$V$7:$V$21,MATCH(C78,Calcoli!$A$7:$A$21,0)),0.26),2),0))))</f>
        <v/>
      </c>
      <c r="L78" s="135" t="str">
        <f>IF(B78="","",IF(B78="Acquisto",-(J78+N(G78)),J78-N(G78)-K78))</f>
        <v/>
      </c>
      <c r="M78" s="127" t="str">
        <f>IF(B78="","",IF(ISNA(MATCH(C78,ETF!$A$7:$A$21,0)),"ETF?",IF(NOT(ISNUMBER(A78)),"Data?",IF(AND(B78&lt;&gt;"Dividendo",N(D78)&lt;=0),"Quote?",IF(AND(B78="Vendita",N(D78)&gt;N(Q78)+0.000001),"Quote?",IF(J78&lt;=0,"Importo?","✓"))))))</f>
        <v/>
      </c>
      <c r="N78" t="str">
        <f>IF(OR(B78="Acquisto",B78="Vendita"),COUNTIFS($C$5:C78,C78,$B$5:B78,"Acquisto")+COUNTIFS($C$5:C78,C78,$B$5:B78,"Vendita"),"")</f>
        <v/>
      </c>
      <c r="O78" t="str">
        <f>IF(N78="","",C78&amp;"|"&amp;N78)</f>
        <v/>
      </c>
      <c r="P78" t="str">
        <f>IF(N78="","",IF(N78=1,0,MATCH(C78&amp;"|"&amp;(N78-1),$O$5:$O$1004,0)))</f>
        <v/>
      </c>
      <c r="Q78" t="str">
        <f>IF(N78="","",IF(P78=0,SUMIFS(Calcoli!$C$7:$C$21,Calcoli!$A$7:$A$21,C78),INDEX($S$5:$S$1004,P78)))</f>
        <v/>
      </c>
      <c r="R78" t="str">
        <f>IF(N78="","",IF(P78=0,SUMIFS(Calcoli!$D$7:$D$21,Calcoli!$A$7:$A$21,C78),INDEX($T$5:$T$1004,P78)))</f>
        <v/>
      </c>
      <c r="S78" t="str">
        <f>IF(N78="","",IF(B78="Acquisto",Q78+N(D78),MAX(0,Q78-N(D78))))</f>
        <v/>
      </c>
      <c r="T78" t="str">
        <f>IF(N78="","",IF(B78="Acquisto",R78+J78+N(G78),IF(Q78&lt;=0,0,R78*(1-MIN(1,N(D78)/Q78)))))</f>
        <v/>
      </c>
      <c r="U78" t="str">
        <f>IF(B78&lt;&gt;"Vendita","",J78-N(G78)-IF(Q78&lt;=0,0,R78*MIN(1,N(D78)/Q78)))</f>
        <v/>
      </c>
      <c r="V78" t="str">
        <f>IF(B78&lt;&gt;"Dividendo","",IF(Calcoli!$B$251=1,J78,L78))</f>
        <v/>
      </c>
      <c r="W78" t="str">
        <f>IF(AND(V78&lt;&gt;"",ISNUMBER(A78)),A78,"")</f>
        <v/>
      </c>
    </row>
    <row r="79">
      <c r="A79" s="134" t="n"/>
      <c r="B79" s="116" t="n"/>
      <c r="C79" s="116" t="n"/>
      <c r="D79" s="121" t="n"/>
      <c r="E79" s="120" t="n"/>
      <c r="F79" s="120" t="n"/>
      <c r="G79" s="120" t="n"/>
      <c r="H79" s="120" t="n"/>
      <c r="I79" s="117" t="n"/>
      <c r="J79" s="123" t="str">
        <f>IF(B79="","",IF(F79&lt;&gt;"",N(F79),ROUND(N(D79)*N(E79),2)))</f>
        <v/>
      </c>
      <c r="K79" s="123" t="str">
        <f>IF(B79="","",IF(H79&lt;&gt;"",N(H79),IF(B79="Dividendo",ROUND(J79*IFERROR(INDEX(Calcoli!$V$7:$V$21,MATCH(C79,Calcoli!$A$7:$A$21,0)),0.26),2),IF(B79="Vendita",ROUND(MAX(0,U79)*IFERROR(INDEX(Calcoli!$V$7:$V$21,MATCH(C79,Calcoli!$A$7:$A$21,0)),0.26),2),0))))</f>
        <v/>
      </c>
      <c r="L79" s="135" t="str">
        <f>IF(B79="","",IF(B79="Acquisto",-(J79+N(G79)),J79-N(G79)-K79))</f>
        <v/>
      </c>
      <c r="M79" s="127" t="str">
        <f>IF(B79="","",IF(ISNA(MATCH(C79,ETF!$A$7:$A$21,0)),"ETF?",IF(NOT(ISNUMBER(A79)),"Data?",IF(AND(B79&lt;&gt;"Dividendo",N(D79)&lt;=0),"Quote?",IF(AND(B79="Vendita",N(D79)&gt;N(Q79)+0.000001),"Quote?",IF(J79&lt;=0,"Importo?","✓"))))))</f>
        <v/>
      </c>
      <c r="N79" t="str">
        <f>IF(OR(B79="Acquisto",B79="Vendita"),COUNTIFS($C$5:C79,C79,$B$5:B79,"Acquisto")+COUNTIFS($C$5:C79,C79,$B$5:B79,"Vendita"),"")</f>
        <v/>
      </c>
      <c r="O79" t="str">
        <f>IF(N79="","",C79&amp;"|"&amp;N79)</f>
        <v/>
      </c>
      <c r="P79" t="str">
        <f>IF(N79="","",IF(N79=1,0,MATCH(C79&amp;"|"&amp;(N79-1),$O$5:$O$1004,0)))</f>
        <v/>
      </c>
      <c r="Q79" t="str">
        <f>IF(N79="","",IF(P79=0,SUMIFS(Calcoli!$C$7:$C$21,Calcoli!$A$7:$A$21,C79),INDEX($S$5:$S$1004,P79)))</f>
        <v/>
      </c>
      <c r="R79" t="str">
        <f>IF(N79="","",IF(P79=0,SUMIFS(Calcoli!$D$7:$D$21,Calcoli!$A$7:$A$21,C79),INDEX($T$5:$T$1004,P79)))</f>
        <v/>
      </c>
      <c r="S79" t="str">
        <f>IF(N79="","",IF(B79="Acquisto",Q79+N(D79),MAX(0,Q79-N(D79))))</f>
        <v/>
      </c>
      <c r="T79" t="str">
        <f>IF(N79="","",IF(B79="Acquisto",R79+J79+N(G79),IF(Q79&lt;=0,0,R79*(1-MIN(1,N(D79)/Q79)))))</f>
        <v/>
      </c>
      <c r="U79" t="str">
        <f>IF(B79&lt;&gt;"Vendita","",J79-N(G79)-IF(Q79&lt;=0,0,R79*MIN(1,N(D79)/Q79)))</f>
        <v/>
      </c>
      <c r="V79" t="str">
        <f>IF(B79&lt;&gt;"Dividendo","",IF(Calcoli!$B$251=1,J79,L79))</f>
        <v/>
      </c>
      <c r="W79" t="str">
        <f>IF(AND(V79&lt;&gt;"",ISNUMBER(A79)),A79,"")</f>
        <v/>
      </c>
    </row>
    <row r="80">
      <c r="A80" s="134" t="n"/>
      <c r="B80" s="116" t="n"/>
      <c r="C80" s="116" t="n"/>
      <c r="D80" s="121" t="n"/>
      <c r="E80" s="120" t="n"/>
      <c r="F80" s="120" t="n"/>
      <c r="G80" s="120" t="n"/>
      <c r="H80" s="120" t="n"/>
      <c r="I80" s="117" t="n"/>
      <c r="J80" s="123" t="str">
        <f>IF(B80="","",IF(F80&lt;&gt;"",N(F80),ROUND(N(D80)*N(E80),2)))</f>
        <v/>
      </c>
      <c r="K80" s="123" t="str">
        <f>IF(B80="","",IF(H80&lt;&gt;"",N(H80),IF(B80="Dividendo",ROUND(J80*IFERROR(INDEX(Calcoli!$V$7:$V$21,MATCH(C80,Calcoli!$A$7:$A$21,0)),0.26),2),IF(B80="Vendita",ROUND(MAX(0,U80)*IFERROR(INDEX(Calcoli!$V$7:$V$21,MATCH(C80,Calcoli!$A$7:$A$21,0)),0.26),2),0))))</f>
        <v/>
      </c>
      <c r="L80" s="135" t="str">
        <f>IF(B80="","",IF(B80="Acquisto",-(J80+N(G80)),J80-N(G80)-K80))</f>
        <v/>
      </c>
      <c r="M80" s="127" t="str">
        <f>IF(B80="","",IF(ISNA(MATCH(C80,ETF!$A$7:$A$21,0)),"ETF?",IF(NOT(ISNUMBER(A80)),"Data?",IF(AND(B80&lt;&gt;"Dividendo",N(D80)&lt;=0),"Quote?",IF(AND(B80="Vendita",N(D80)&gt;N(Q80)+0.000001),"Quote?",IF(J80&lt;=0,"Importo?","✓"))))))</f>
        <v/>
      </c>
      <c r="N80" t="str">
        <f>IF(OR(B80="Acquisto",B80="Vendita"),COUNTIFS($C$5:C80,C80,$B$5:B80,"Acquisto")+COUNTIFS($C$5:C80,C80,$B$5:B80,"Vendita"),"")</f>
        <v/>
      </c>
      <c r="O80" t="str">
        <f>IF(N80="","",C80&amp;"|"&amp;N80)</f>
        <v/>
      </c>
      <c r="P80" t="str">
        <f>IF(N80="","",IF(N80=1,0,MATCH(C80&amp;"|"&amp;(N80-1),$O$5:$O$1004,0)))</f>
        <v/>
      </c>
      <c r="Q80" t="str">
        <f>IF(N80="","",IF(P80=0,SUMIFS(Calcoli!$C$7:$C$21,Calcoli!$A$7:$A$21,C80),INDEX($S$5:$S$1004,P80)))</f>
        <v/>
      </c>
      <c r="R80" t="str">
        <f>IF(N80="","",IF(P80=0,SUMIFS(Calcoli!$D$7:$D$21,Calcoli!$A$7:$A$21,C80),INDEX($T$5:$T$1004,P80)))</f>
        <v/>
      </c>
      <c r="S80" t="str">
        <f>IF(N80="","",IF(B80="Acquisto",Q80+N(D80),MAX(0,Q80-N(D80))))</f>
        <v/>
      </c>
      <c r="T80" t="str">
        <f>IF(N80="","",IF(B80="Acquisto",R80+J80+N(G80),IF(Q80&lt;=0,0,R80*(1-MIN(1,N(D80)/Q80)))))</f>
        <v/>
      </c>
      <c r="U80" t="str">
        <f>IF(B80&lt;&gt;"Vendita","",J80-N(G80)-IF(Q80&lt;=0,0,R80*MIN(1,N(D80)/Q80)))</f>
        <v/>
      </c>
      <c r="V80" t="str">
        <f>IF(B80&lt;&gt;"Dividendo","",IF(Calcoli!$B$251=1,J80,L80))</f>
        <v/>
      </c>
      <c r="W80" t="str">
        <f>IF(AND(V80&lt;&gt;"",ISNUMBER(A80)),A80,"")</f>
        <v/>
      </c>
    </row>
    <row r="81">
      <c r="A81" s="134" t="n"/>
      <c r="B81" s="116" t="n"/>
      <c r="C81" s="116" t="n"/>
      <c r="D81" s="121" t="n"/>
      <c r="E81" s="120" t="n"/>
      <c r="F81" s="120" t="n"/>
      <c r="G81" s="120" t="n"/>
      <c r="H81" s="120" t="n"/>
      <c r="I81" s="117" t="n"/>
      <c r="J81" s="123" t="str">
        <f>IF(B81="","",IF(F81&lt;&gt;"",N(F81),ROUND(N(D81)*N(E81),2)))</f>
        <v/>
      </c>
      <c r="K81" s="123" t="str">
        <f>IF(B81="","",IF(H81&lt;&gt;"",N(H81),IF(B81="Dividendo",ROUND(J81*IFERROR(INDEX(Calcoli!$V$7:$V$21,MATCH(C81,Calcoli!$A$7:$A$21,0)),0.26),2),IF(B81="Vendita",ROUND(MAX(0,U81)*IFERROR(INDEX(Calcoli!$V$7:$V$21,MATCH(C81,Calcoli!$A$7:$A$21,0)),0.26),2),0))))</f>
        <v/>
      </c>
      <c r="L81" s="135" t="str">
        <f>IF(B81="","",IF(B81="Acquisto",-(J81+N(G81)),J81-N(G81)-K81))</f>
        <v/>
      </c>
      <c r="M81" s="127" t="str">
        <f>IF(B81="","",IF(ISNA(MATCH(C81,ETF!$A$7:$A$21,0)),"ETF?",IF(NOT(ISNUMBER(A81)),"Data?",IF(AND(B81&lt;&gt;"Dividendo",N(D81)&lt;=0),"Quote?",IF(AND(B81="Vendita",N(D81)&gt;N(Q81)+0.000001),"Quote?",IF(J81&lt;=0,"Importo?","✓"))))))</f>
        <v/>
      </c>
      <c r="N81" t="str">
        <f>IF(OR(B81="Acquisto",B81="Vendita"),COUNTIFS($C$5:C81,C81,$B$5:B81,"Acquisto")+COUNTIFS($C$5:C81,C81,$B$5:B81,"Vendita"),"")</f>
        <v/>
      </c>
      <c r="O81" t="str">
        <f>IF(N81="","",C81&amp;"|"&amp;N81)</f>
        <v/>
      </c>
      <c r="P81" t="str">
        <f>IF(N81="","",IF(N81=1,0,MATCH(C81&amp;"|"&amp;(N81-1),$O$5:$O$1004,0)))</f>
        <v/>
      </c>
      <c r="Q81" t="str">
        <f>IF(N81="","",IF(P81=0,SUMIFS(Calcoli!$C$7:$C$21,Calcoli!$A$7:$A$21,C81),INDEX($S$5:$S$1004,P81)))</f>
        <v/>
      </c>
      <c r="R81" t="str">
        <f>IF(N81="","",IF(P81=0,SUMIFS(Calcoli!$D$7:$D$21,Calcoli!$A$7:$A$21,C81),INDEX($T$5:$T$1004,P81)))</f>
        <v/>
      </c>
      <c r="S81" t="str">
        <f>IF(N81="","",IF(B81="Acquisto",Q81+N(D81),MAX(0,Q81-N(D81))))</f>
        <v/>
      </c>
      <c r="T81" t="str">
        <f>IF(N81="","",IF(B81="Acquisto",R81+J81+N(G81),IF(Q81&lt;=0,0,R81*(1-MIN(1,N(D81)/Q81)))))</f>
        <v/>
      </c>
      <c r="U81" t="str">
        <f>IF(B81&lt;&gt;"Vendita","",J81-N(G81)-IF(Q81&lt;=0,0,R81*MIN(1,N(D81)/Q81)))</f>
        <v/>
      </c>
      <c r="V81" t="str">
        <f>IF(B81&lt;&gt;"Dividendo","",IF(Calcoli!$B$251=1,J81,L81))</f>
        <v/>
      </c>
      <c r="W81" t="str">
        <f>IF(AND(V81&lt;&gt;"",ISNUMBER(A81)),A81,"")</f>
        <v/>
      </c>
    </row>
    <row r="82">
      <c r="A82" s="134" t="n"/>
      <c r="B82" s="116" t="n"/>
      <c r="C82" s="116" t="n"/>
      <c r="D82" s="121" t="n"/>
      <c r="E82" s="120" t="n"/>
      <c r="F82" s="120" t="n"/>
      <c r="G82" s="120" t="n"/>
      <c r="H82" s="120" t="n"/>
      <c r="I82" s="117" t="n"/>
      <c r="J82" s="123" t="str">
        <f>IF(B82="","",IF(F82&lt;&gt;"",N(F82),ROUND(N(D82)*N(E82),2)))</f>
        <v/>
      </c>
      <c r="K82" s="123" t="str">
        <f>IF(B82="","",IF(H82&lt;&gt;"",N(H82),IF(B82="Dividendo",ROUND(J82*IFERROR(INDEX(Calcoli!$V$7:$V$21,MATCH(C82,Calcoli!$A$7:$A$21,0)),0.26),2),IF(B82="Vendita",ROUND(MAX(0,U82)*IFERROR(INDEX(Calcoli!$V$7:$V$21,MATCH(C82,Calcoli!$A$7:$A$21,0)),0.26),2),0))))</f>
        <v/>
      </c>
      <c r="L82" s="135" t="str">
        <f>IF(B82="","",IF(B82="Acquisto",-(J82+N(G82)),J82-N(G82)-K82))</f>
        <v/>
      </c>
      <c r="M82" s="127" t="str">
        <f>IF(B82="","",IF(ISNA(MATCH(C82,ETF!$A$7:$A$21,0)),"ETF?",IF(NOT(ISNUMBER(A82)),"Data?",IF(AND(B82&lt;&gt;"Dividendo",N(D82)&lt;=0),"Quote?",IF(AND(B82="Vendita",N(D82)&gt;N(Q82)+0.000001),"Quote?",IF(J82&lt;=0,"Importo?","✓"))))))</f>
        <v/>
      </c>
      <c r="N82" t="str">
        <f>IF(OR(B82="Acquisto",B82="Vendita"),COUNTIFS($C$5:C82,C82,$B$5:B82,"Acquisto")+COUNTIFS($C$5:C82,C82,$B$5:B82,"Vendita"),"")</f>
        <v/>
      </c>
      <c r="O82" t="str">
        <f>IF(N82="","",C82&amp;"|"&amp;N82)</f>
        <v/>
      </c>
      <c r="P82" t="str">
        <f>IF(N82="","",IF(N82=1,0,MATCH(C82&amp;"|"&amp;(N82-1),$O$5:$O$1004,0)))</f>
        <v/>
      </c>
      <c r="Q82" t="str">
        <f>IF(N82="","",IF(P82=0,SUMIFS(Calcoli!$C$7:$C$21,Calcoli!$A$7:$A$21,C82),INDEX($S$5:$S$1004,P82)))</f>
        <v/>
      </c>
      <c r="R82" t="str">
        <f>IF(N82="","",IF(P82=0,SUMIFS(Calcoli!$D$7:$D$21,Calcoli!$A$7:$A$21,C82),INDEX($T$5:$T$1004,P82)))</f>
        <v/>
      </c>
      <c r="S82" t="str">
        <f>IF(N82="","",IF(B82="Acquisto",Q82+N(D82),MAX(0,Q82-N(D82))))</f>
        <v/>
      </c>
      <c r="T82" t="str">
        <f>IF(N82="","",IF(B82="Acquisto",R82+J82+N(G82),IF(Q82&lt;=0,0,R82*(1-MIN(1,N(D82)/Q82)))))</f>
        <v/>
      </c>
      <c r="U82" t="str">
        <f>IF(B82&lt;&gt;"Vendita","",J82-N(G82)-IF(Q82&lt;=0,0,R82*MIN(1,N(D82)/Q82)))</f>
        <v/>
      </c>
      <c r="V82" t="str">
        <f>IF(B82&lt;&gt;"Dividendo","",IF(Calcoli!$B$251=1,J82,L82))</f>
        <v/>
      </c>
      <c r="W82" t="str">
        <f>IF(AND(V82&lt;&gt;"",ISNUMBER(A82)),A82,"")</f>
        <v/>
      </c>
    </row>
    <row r="83">
      <c r="A83" s="134" t="n"/>
      <c r="B83" s="116" t="n"/>
      <c r="C83" s="116" t="n"/>
      <c r="D83" s="121" t="n"/>
      <c r="E83" s="120" t="n"/>
      <c r="F83" s="120" t="n"/>
      <c r="G83" s="120" t="n"/>
      <c r="H83" s="120" t="n"/>
      <c r="I83" s="117" t="n"/>
      <c r="J83" s="123" t="str">
        <f>IF(B83="","",IF(F83&lt;&gt;"",N(F83),ROUND(N(D83)*N(E83),2)))</f>
        <v/>
      </c>
      <c r="K83" s="123" t="str">
        <f>IF(B83="","",IF(H83&lt;&gt;"",N(H83),IF(B83="Dividendo",ROUND(J83*IFERROR(INDEX(Calcoli!$V$7:$V$21,MATCH(C83,Calcoli!$A$7:$A$21,0)),0.26),2),IF(B83="Vendita",ROUND(MAX(0,U83)*IFERROR(INDEX(Calcoli!$V$7:$V$21,MATCH(C83,Calcoli!$A$7:$A$21,0)),0.26),2),0))))</f>
        <v/>
      </c>
      <c r="L83" s="135" t="str">
        <f>IF(B83="","",IF(B83="Acquisto",-(J83+N(G83)),J83-N(G83)-K83))</f>
        <v/>
      </c>
      <c r="M83" s="127" t="str">
        <f>IF(B83="","",IF(ISNA(MATCH(C83,ETF!$A$7:$A$21,0)),"ETF?",IF(NOT(ISNUMBER(A83)),"Data?",IF(AND(B83&lt;&gt;"Dividendo",N(D83)&lt;=0),"Quote?",IF(AND(B83="Vendita",N(D83)&gt;N(Q83)+0.000001),"Quote?",IF(J83&lt;=0,"Importo?","✓"))))))</f>
        <v/>
      </c>
      <c r="N83" t="str">
        <f>IF(OR(B83="Acquisto",B83="Vendita"),COUNTIFS($C$5:C83,C83,$B$5:B83,"Acquisto")+COUNTIFS($C$5:C83,C83,$B$5:B83,"Vendita"),"")</f>
        <v/>
      </c>
      <c r="O83" t="str">
        <f>IF(N83="","",C83&amp;"|"&amp;N83)</f>
        <v/>
      </c>
      <c r="P83" t="str">
        <f>IF(N83="","",IF(N83=1,0,MATCH(C83&amp;"|"&amp;(N83-1),$O$5:$O$1004,0)))</f>
        <v/>
      </c>
      <c r="Q83" t="str">
        <f>IF(N83="","",IF(P83=0,SUMIFS(Calcoli!$C$7:$C$21,Calcoli!$A$7:$A$21,C83),INDEX($S$5:$S$1004,P83)))</f>
        <v/>
      </c>
      <c r="R83" t="str">
        <f>IF(N83="","",IF(P83=0,SUMIFS(Calcoli!$D$7:$D$21,Calcoli!$A$7:$A$21,C83),INDEX($T$5:$T$1004,P83)))</f>
        <v/>
      </c>
      <c r="S83" t="str">
        <f>IF(N83="","",IF(B83="Acquisto",Q83+N(D83),MAX(0,Q83-N(D83))))</f>
        <v/>
      </c>
      <c r="T83" t="str">
        <f>IF(N83="","",IF(B83="Acquisto",R83+J83+N(G83),IF(Q83&lt;=0,0,R83*(1-MIN(1,N(D83)/Q83)))))</f>
        <v/>
      </c>
      <c r="U83" t="str">
        <f>IF(B83&lt;&gt;"Vendita","",J83-N(G83)-IF(Q83&lt;=0,0,R83*MIN(1,N(D83)/Q83)))</f>
        <v/>
      </c>
      <c r="V83" t="str">
        <f>IF(B83&lt;&gt;"Dividendo","",IF(Calcoli!$B$251=1,J83,L83))</f>
        <v/>
      </c>
      <c r="W83" t="str">
        <f>IF(AND(V83&lt;&gt;"",ISNUMBER(A83)),A83,"")</f>
        <v/>
      </c>
    </row>
    <row r="84">
      <c r="A84" s="134" t="n"/>
      <c r="B84" s="116" t="n"/>
      <c r="C84" s="116" t="n"/>
      <c r="D84" s="121" t="n"/>
      <c r="E84" s="120" t="n"/>
      <c r="F84" s="120" t="n"/>
      <c r="G84" s="120" t="n"/>
      <c r="H84" s="120" t="n"/>
      <c r="I84" s="117" t="n"/>
      <c r="J84" s="123" t="str">
        <f>IF(B84="","",IF(F84&lt;&gt;"",N(F84),ROUND(N(D84)*N(E84),2)))</f>
        <v/>
      </c>
      <c r="K84" s="123" t="str">
        <f>IF(B84="","",IF(H84&lt;&gt;"",N(H84),IF(B84="Dividendo",ROUND(J84*IFERROR(INDEX(Calcoli!$V$7:$V$21,MATCH(C84,Calcoli!$A$7:$A$21,0)),0.26),2),IF(B84="Vendita",ROUND(MAX(0,U84)*IFERROR(INDEX(Calcoli!$V$7:$V$21,MATCH(C84,Calcoli!$A$7:$A$21,0)),0.26),2),0))))</f>
        <v/>
      </c>
      <c r="L84" s="135" t="str">
        <f>IF(B84="","",IF(B84="Acquisto",-(J84+N(G84)),J84-N(G84)-K84))</f>
        <v/>
      </c>
      <c r="M84" s="127" t="str">
        <f>IF(B84="","",IF(ISNA(MATCH(C84,ETF!$A$7:$A$21,0)),"ETF?",IF(NOT(ISNUMBER(A84)),"Data?",IF(AND(B84&lt;&gt;"Dividendo",N(D84)&lt;=0),"Quote?",IF(AND(B84="Vendita",N(D84)&gt;N(Q84)+0.000001),"Quote?",IF(J84&lt;=0,"Importo?","✓"))))))</f>
        <v/>
      </c>
      <c r="N84" t="str">
        <f>IF(OR(B84="Acquisto",B84="Vendita"),COUNTIFS($C$5:C84,C84,$B$5:B84,"Acquisto")+COUNTIFS($C$5:C84,C84,$B$5:B84,"Vendita"),"")</f>
        <v/>
      </c>
      <c r="O84" t="str">
        <f>IF(N84="","",C84&amp;"|"&amp;N84)</f>
        <v/>
      </c>
      <c r="P84" t="str">
        <f>IF(N84="","",IF(N84=1,0,MATCH(C84&amp;"|"&amp;(N84-1),$O$5:$O$1004,0)))</f>
        <v/>
      </c>
      <c r="Q84" t="str">
        <f>IF(N84="","",IF(P84=0,SUMIFS(Calcoli!$C$7:$C$21,Calcoli!$A$7:$A$21,C84),INDEX($S$5:$S$1004,P84)))</f>
        <v/>
      </c>
      <c r="R84" t="str">
        <f>IF(N84="","",IF(P84=0,SUMIFS(Calcoli!$D$7:$D$21,Calcoli!$A$7:$A$21,C84),INDEX($T$5:$T$1004,P84)))</f>
        <v/>
      </c>
      <c r="S84" t="str">
        <f>IF(N84="","",IF(B84="Acquisto",Q84+N(D84),MAX(0,Q84-N(D84))))</f>
        <v/>
      </c>
      <c r="T84" t="str">
        <f>IF(N84="","",IF(B84="Acquisto",R84+J84+N(G84),IF(Q84&lt;=0,0,R84*(1-MIN(1,N(D84)/Q84)))))</f>
        <v/>
      </c>
      <c r="U84" t="str">
        <f>IF(B84&lt;&gt;"Vendita","",J84-N(G84)-IF(Q84&lt;=0,0,R84*MIN(1,N(D84)/Q84)))</f>
        <v/>
      </c>
      <c r="V84" t="str">
        <f>IF(B84&lt;&gt;"Dividendo","",IF(Calcoli!$B$251=1,J84,L84))</f>
        <v/>
      </c>
      <c r="W84" t="str">
        <f>IF(AND(V84&lt;&gt;"",ISNUMBER(A84)),A84,"")</f>
        <v/>
      </c>
    </row>
    <row r="85">
      <c r="A85" s="134" t="n"/>
      <c r="B85" s="116" t="n"/>
      <c r="C85" s="116" t="n"/>
      <c r="D85" s="121" t="n"/>
      <c r="E85" s="120" t="n"/>
      <c r="F85" s="120" t="n"/>
      <c r="G85" s="120" t="n"/>
      <c r="H85" s="120" t="n"/>
      <c r="I85" s="117" t="n"/>
      <c r="J85" s="123" t="str">
        <f>IF(B85="","",IF(F85&lt;&gt;"",N(F85),ROUND(N(D85)*N(E85),2)))</f>
        <v/>
      </c>
      <c r="K85" s="123" t="str">
        <f>IF(B85="","",IF(H85&lt;&gt;"",N(H85),IF(B85="Dividendo",ROUND(J85*IFERROR(INDEX(Calcoli!$V$7:$V$21,MATCH(C85,Calcoli!$A$7:$A$21,0)),0.26),2),IF(B85="Vendita",ROUND(MAX(0,U85)*IFERROR(INDEX(Calcoli!$V$7:$V$21,MATCH(C85,Calcoli!$A$7:$A$21,0)),0.26),2),0))))</f>
        <v/>
      </c>
      <c r="L85" s="135" t="str">
        <f>IF(B85="","",IF(B85="Acquisto",-(J85+N(G85)),J85-N(G85)-K85))</f>
        <v/>
      </c>
      <c r="M85" s="127" t="str">
        <f>IF(B85="","",IF(ISNA(MATCH(C85,ETF!$A$7:$A$21,0)),"ETF?",IF(NOT(ISNUMBER(A85)),"Data?",IF(AND(B85&lt;&gt;"Dividendo",N(D85)&lt;=0),"Quote?",IF(AND(B85="Vendita",N(D85)&gt;N(Q85)+0.000001),"Quote?",IF(J85&lt;=0,"Importo?","✓"))))))</f>
        <v/>
      </c>
      <c r="N85" t="str">
        <f>IF(OR(B85="Acquisto",B85="Vendita"),COUNTIFS($C$5:C85,C85,$B$5:B85,"Acquisto")+COUNTIFS($C$5:C85,C85,$B$5:B85,"Vendita"),"")</f>
        <v/>
      </c>
      <c r="O85" t="str">
        <f>IF(N85="","",C85&amp;"|"&amp;N85)</f>
        <v/>
      </c>
      <c r="P85" t="str">
        <f>IF(N85="","",IF(N85=1,0,MATCH(C85&amp;"|"&amp;(N85-1),$O$5:$O$1004,0)))</f>
        <v/>
      </c>
      <c r="Q85" t="str">
        <f>IF(N85="","",IF(P85=0,SUMIFS(Calcoli!$C$7:$C$21,Calcoli!$A$7:$A$21,C85),INDEX($S$5:$S$1004,P85)))</f>
        <v/>
      </c>
      <c r="R85" t="str">
        <f>IF(N85="","",IF(P85=0,SUMIFS(Calcoli!$D$7:$D$21,Calcoli!$A$7:$A$21,C85),INDEX($T$5:$T$1004,P85)))</f>
        <v/>
      </c>
      <c r="S85" t="str">
        <f>IF(N85="","",IF(B85="Acquisto",Q85+N(D85),MAX(0,Q85-N(D85))))</f>
        <v/>
      </c>
      <c r="T85" t="str">
        <f>IF(N85="","",IF(B85="Acquisto",R85+J85+N(G85),IF(Q85&lt;=0,0,R85*(1-MIN(1,N(D85)/Q85)))))</f>
        <v/>
      </c>
      <c r="U85" t="str">
        <f>IF(B85&lt;&gt;"Vendita","",J85-N(G85)-IF(Q85&lt;=0,0,R85*MIN(1,N(D85)/Q85)))</f>
        <v/>
      </c>
      <c r="V85" t="str">
        <f>IF(B85&lt;&gt;"Dividendo","",IF(Calcoli!$B$251=1,J85,L85))</f>
        <v/>
      </c>
      <c r="W85" t="str">
        <f>IF(AND(V85&lt;&gt;"",ISNUMBER(A85)),A85,"")</f>
        <v/>
      </c>
    </row>
    <row r="86">
      <c r="A86" s="134" t="n"/>
      <c r="B86" s="116" t="n"/>
      <c r="C86" s="116" t="n"/>
      <c r="D86" s="121" t="n"/>
      <c r="E86" s="120" t="n"/>
      <c r="F86" s="120" t="n"/>
      <c r="G86" s="120" t="n"/>
      <c r="H86" s="120" t="n"/>
      <c r="I86" s="117" t="n"/>
      <c r="J86" s="123" t="str">
        <f>IF(B86="","",IF(F86&lt;&gt;"",N(F86),ROUND(N(D86)*N(E86),2)))</f>
        <v/>
      </c>
      <c r="K86" s="123" t="str">
        <f>IF(B86="","",IF(H86&lt;&gt;"",N(H86),IF(B86="Dividendo",ROUND(J86*IFERROR(INDEX(Calcoli!$V$7:$V$21,MATCH(C86,Calcoli!$A$7:$A$21,0)),0.26),2),IF(B86="Vendita",ROUND(MAX(0,U86)*IFERROR(INDEX(Calcoli!$V$7:$V$21,MATCH(C86,Calcoli!$A$7:$A$21,0)),0.26),2),0))))</f>
        <v/>
      </c>
      <c r="L86" s="135" t="str">
        <f>IF(B86="","",IF(B86="Acquisto",-(J86+N(G86)),J86-N(G86)-K86))</f>
        <v/>
      </c>
      <c r="M86" s="127" t="str">
        <f>IF(B86="","",IF(ISNA(MATCH(C86,ETF!$A$7:$A$21,0)),"ETF?",IF(NOT(ISNUMBER(A86)),"Data?",IF(AND(B86&lt;&gt;"Dividendo",N(D86)&lt;=0),"Quote?",IF(AND(B86="Vendita",N(D86)&gt;N(Q86)+0.000001),"Quote?",IF(J86&lt;=0,"Importo?","✓"))))))</f>
        <v/>
      </c>
      <c r="N86" t="str">
        <f>IF(OR(B86="Acquisto",B86="Vendita"),COUNTIFS($C$5:C86,C86,$B$5:B86,"Acquisto")+COUNTIFS($C$5:C86,C86,$B$5:B86,"Vendita"),"")</f>
        <v/>
      </c>
      <c r="O86" t="str">
        <f>IF(N86="","",C86&amp;"|"&amp;N86)</f>
        <v/>
      </c>
      <c r="P86" t="str">
        <f>IF(N86="","",IF(N86=1,0,MATCH(C86&amp;"|"&amp;(N86-1),$O$5:$O$1004,0)))</f>
        <v/>
      </c>
      <c r="Q86" t="str">
        <f>IF(N86="","",IF(P86=0,SUMIFS(Calcoli!$C$7:$C$21,Calcoli!$A$7:$A$21,C86),INDEX($S$5:$S$1004,P86)))</f>
        <v/>
      </c>
      <c r="R86" t="str">
        <f>IF(N86="","",IF(P86=0,SUMIFS(Calcoli!$D$7:$D$21,Calcoli!$A$7:$A$21,C86),INDEX($T$5:$T$1004,P86)))</f>
        <v/>
      </c>
      <c r="S86" t="str">
        <f>IF(N86="","",IF(B86="Acquisto",Q86+N(D86),MAX(0,Q86-N(D86))))</f>
        <v/>
      </c>
      <c r="T86" t="str">
        <f>IF(N86="","",IF(B86="Acquisto",R86+J86+N(G86),IF(Q86&lt;=0,0,R86*(1-MIN(1,N(D86)/Q86)))))</f>
        <v/>
      </c>
      <c r="U86" t="str">
        <f>IF(B86&lt;&gt;"Vendita","",J86-N(G86)-IF(Q86&lt;=0,0,R86*MIN(1,N(D86)/Q86)))</f>
        <v/>
      </c>
      <c r="V86" t="str">
        <f>IF(B86&lt;&gt;"Dividendo","",IF(Calcoli!$B$251=1,J86,L86))</f>
        <v/>
      </c>
      <c r="W86" t="str">
        <f>IF(AND(V86&lt;&gt;"",ISNUMBER(A86)),A86,"")</f>
        <v/>
      </c>
    </row>
    <row r="87">
      <c r="A87" s="134" t="n"/>
      <c r="B87" s="116" t="n"/>
      <c r="C87" s="116" t="n"/>
      <c r="D87" s="121" t="n"/>
      <c r="E87" s="120" t="n"/>
      <c r="F87" s="120" t="n"/>
      <c r="G87" s="120" t="n"/>
      <c r="H87" s="120" t="n"/>
      <c r="I87" s="117" t="n"/>
      <c r="J87" s="123" t="str">
        <f>IF(B87="","",IF(F87&lt;&gt;"",N(F87),ROUND(N(D87)*N(E87),2)))</f>
        <v/>
      </c>
      <c r="K87" s="123" t="str">
        <f>IF(B87="","",IF(H87&lt;&gt;"",N(H87),IF(B87="Dividendo",ROUND(J87*IFERROR(INDEX(Calcoli!$V$7:$V$21,MATCH(C87,Calcoli!$A$7:$A$21,0)),0.26),2),IF(B87="Vendita",ROUND(MAX(0,U87)*IFERROR(INDEX(Calcoli!$V$7:$V$21,MATCH(C87,Calcoli!$A$7:$A$21,0)),0.26),2),0))))</f>
        <v/>
      </c>
      <c r="L87" s="135" t="str">
        <f>IF(B87="","",IF(B87="Acquisto",-(J87+N(G87)),J87-N(G87)-K87))</f>
        <v/>
      </c>
      <c r="M87" s="127" t="str">
        <f>IF(B87="","",IF(ISNA(MATCH(C87,ETF!$A$7:$A$21,0)),"ETF?",IF(NOT(ISNUMBER(A87)),"Data?",IF(AND(B87&lt;&gt;"Dividendo",N(D87)&lt;=0),"Quote?",IF(AND(B87="Vendita",N(D87)&gt;N(Q87)+0.000001),"Quote?",IF(J87&lt;=0,"Importo?","✓"))))))</f>
        <v/>
      </c>
      <c r="N87" t="str">
        <f>IF(OR(B87="Acquisto",B87="Vendita"),COUNTIFS($C$5:C87,C87,$B$5:B87,"Acquisto")+COUNTIFS($C$5:C87,C87,$B$5:B87,"Vendita"),"")</f>
        <v/>
      </c>
      <c r="O87" t="str">
        <f>IF(N87="","",C87&amp;"|"&amp;N87)</f>
        <v/>
      </c>
      <c r="P87" t="str">
        <f>IF(N87="","",IF(N87=1,0,MATCH(C87&amp;"|"&amp;(N87-1),$O$5:$O$1004,0)))</f>
        <v/>
      </c>
      <c r="Q87" t="str">
        <f>IF(N87="","",IF(P87=0,SUMIFS(Calcoli!$C$7:$C$21,Calcoli!$A$7:$A$21,C87),INDEX($S$5:$S$1004,P87)))</f>
        <v/>
      </c>
      <c r="R87" t="str">
        <f>IF(N87="","",IF(P87=0,SUMIFS(Calcoli!$D$7:$D$21,Calcoli!$A$7:$A$21,C87),INDEX($T$5:$T$1004,P87)))</f>
        <v/>
      </c>
      <c r="S87" t="str">
        <f>IF(N87="","",IF(B87="Acquisto",Q87+N(D87),MAX(0,Q87-N(D87))))</f>
        <v/>
      </c>
      <c r="T87" t="str">
        <f>IF(N87="","",IF(B87="Acquisto",R87+J87+N(G87),IF(Q87&lt;=0,0,R87*(1-MIN(1,N(D87)/Q87)))))</f>
        <v/>
      </c>
      <c r="U87" t="str">
        <f>IF(B87&lt;&gt;"Vendita","",J87-N(G87)-IF(Q87&lt;=0,0,R87*MIN(1,N(D87)/Q87)))</f>
        <v/>
      </c>
      <c r="V87" t="str">
        <f>IF(B87&lt;&gt;"Dividendo","",IF(Calcoli!$B$251=1,J87,L87))</f>
        <v/>
      </c>
      <c r="W87" t="str">
        <f>IF(AND(V87&lt;&gt;"",ISNUMBER(A87)),A87,"")</f>
        <v/>
      </c>
    </row>
    <row r="88">
      <c r="A88" s="134" t="n"/>
      <c r="B88" s="116" t="n"/>
      <c r="C88" s="116" t="n"/>
      <c r="D88" s="121" t="n"/>
      <c r="E88" s="120" t="n"/>
      <c r="F88" s="120" t="n"/>
      <c r="G88" s="120" t="n"/>
      <c r="H88" s="120" t="n"/>
      <c r="I88" s="117" t="n"/>
      <c r="J88" s="123" t="str">
        <f>IF(B88="","",IF(F88&lt;&gt;"",N(F88),ROUND(N(D88)*N(E88),2)))</f>
        <v/>
      </c>
      <c r="K88" s="123" t="str">
        <f>IF(B88="","",IF(H88&lt;&gt;"",N(H88),IF(B88="Dividendo",ROUND(J88*IFERROR(INDEX(Calcoli!$V$7:$V$21,MATCH(C88,Calcoli!$A$7:$A$21,0)),0.26),2),IF(B88="Vendita",ROUND(MAX(0,U88)*IFERROR(INDEX(Calcoli!$V$7:$V$21,MATCH(C88,Calcoli!$A$7:$A$21,0)),0.26),2),0))))</f>
        <v/>
      </c>
      <c r="L88" s="135" t="str">
        <f>IF(B88="","",IF(B88="Acquisto",-(J88+N(G88)),J88-N(G88)-K88))</f>
        <v/>
      </c>
      <c r="M88" s="127" t="str">
        <f>IF(B88="","",IF(ISNA(MATCH(C88,ETF!$A$7:$A$21,0)),"ETF?",IF(NOT(ISNUMBER(A88)),"Data?",IF(AND(B88&lt;&gt;"Dividendo",N(D88)&lt;=0),"Quote?",IF(AND(B88="Vendita",N(D88)&gt;N(Q88)+0.000001),"Quote?",IF(J88&lt;=0,"Importo?","✓"))))))</f>
        <v/>
      </c>
      <c r="N88" t="str">
        <f>IF(OR(B88="Acquisto",B88="Vendita"),COUNTIFS($C$5:C88,C88,$B$5:B88,"Acquisto")+COUNTIFS($C$5:C88,C88,$B$5:B88,"Vendita"),"")</f>
        <v/>
      </c>
      <c r="O88" t="str">
        <f>IF(N88="","",C88&amp;"|"&amp;N88)</f>
        <v/>
      </c>
      <c r="P88" t="str">
        <f>IF(N88="","",IF(N88=1,0,MATCH(C88&amp;"|"&amp;(N88-1),$O$5:$O$1004,0)))</f>
        <v/>
      </c>
      <c r="Q88" t="str">
        <f>IF(N88="","",IF(P88=0,SUMIFS(Calcoli!$C$7:$C$21,Calcoli!$A$7:$A$21,C88),INDEX($S$5:$S$1004,P88)))</f>
        <v/>
      </c>
      <c r="R88" t="str">
        <f>IF(N88="","",IF(P88=0,SUMIFS(Calcoli!$D$7:$D$21,Calcoli!$A$7:$A$21,C88),INDEX($T$5:$T$1004,P88)))</f>
        <v/>
      </c>
      <c r="S88" t="str">
        <f>IF(N88="","",IF(B88="Acquisto",Q88+N(D88),MAX(0,Q88-N(D88))))</f>
        <v/>
      </c>
      <c r="T88" t="str">
        <f>IF(N88="","",IF(B88="Acquisto",R88+J88+N(G88),IF(Q88&lt;=0,0,R88*(1-MIN(1,N(D88)/Q88)))))</f>
        <v/>
      </c>
      <c r="U88" t="str">
        <f>IF(B88&lt;&gt;"Vendita","",J88-N(G88)-IF(Q88&lt;=0,0,R88*MIN(1,N(D88)/Q88)))</f>
        <v/>
      </c>
      <c r="V88" t="str">
        <f>IF(B88&lt;&gt;"Dividendo","",IF(Calcoli!$B$251=1,J88,L88))</f>
        <v/>
      </c>
      <c r="W88" t="str">
        <f>IF(AND(V88&lt;&gt;"",ISNUMBER(A88)),A88,"")</f>
        <v/>
      </c>
    </row>
    <row r="89">
      <c r="A89" s="134" t="n"/>
      <c r="B89" s="116" t="n"/>
      <c r="C89" s="116" t="n"/>
      <c r="D89" s="121" t="n"/>
      <c r="E89" s="120" t="n"/>
      <c r="F89" s="120" t="n"/>
      <c r="G89" s="120" t="n"/>
      <c r="H89" s="120" t="n"/>
      <c r="I89" s="117" t="n"/>
      <c r="J89" s="123" t="str">
        <f>IF(B89="","",IF(F89&lt;&gt;"",N(F89),ROUND(N(D89)*N(E89),2)))</f>
        <v/>
      </c>
      <c r="K89" s="123" t="str">
        <f>IF(B89="","",IF(H89&lt;&gt;"",N(H89),IF(B89="Dividendo",ROUND(J89*IFERROR(INDEX(Calcoli!$V$7:$V$21,MATCH(C89,Calcoli!$A$7:$A$21,0)),0.26),2),IF(B89="Vendita",ROUND(MAX(0,U89)*IFERROR(INDEX(Calcoli!$V$7:$V$21,MATCH(C89,Calcoli!$A$7:$A$21,0)),0.26),2),0))))</f>
        <v/>
      </c>
      <c r="L89" s="135" t="str">
        <f>IF(B89="","",IF(B89="Acquisto",-(J89+N(G89)),J89-N(G89)-K89))</f>
        <v/>
      </c>
      <c r="M89" s="127" t="str">
        <f>IF(B89="","",IF(ISNA(MATCH(C89,ETF!$A$7:$A$21,0)),"ETF?",IF(NOT(ISNUMBER(A89)),"Data?",IF(AND(B89&lt;&gt;"Dividendo",N(D89)&lt;=0),"Quote?",IF(AND(B89="Vendita",N(D89)&gt;N(Q89)+0.000001),"Quote?",IF(J89&lt;=0,"Importo?","✓"))))))</f>
        <v/>
      </c>
      <c r="N89" t="str">
        <f>IF(OR(B89="Acquisto",B89="Vendita"),COUNTIFS($C$5:C89,C89,$B$5:B89,"Acquisto")+COUNTIFS($C$5:C89,C89,$B$5:B89,"Vendita"),"")</f>
        <v/>
      </c>
      <c r="O89" t="str">
        <f>IF(N89="","",C89&amp;"|"&amp;N89)</f>
        <v/>
      </c>
      <c r="P89" t="str">
        <f>IF(N89="","",IF(N89=1,0,MATCH(C89&amp;"|"&amp;(N89-1),$O$5:$O$1004,0)))</f>
        <v/>
      </c>
      <c r="Q89" t="str">
        <f>IF(N89="","",IF(P89=0,SUMIFS(Calcoli!$C$7:$C$21,Calcoli!$A$7:$A$21,C89),INDEX($S$5:$S$1004,P89)))</f>
        <v/>
      </c>
      <c r="R89" t="str">
        <f>IF(N89="","",IF(P89=0,SUMIFS(Calcoli!$D$7:$D$21,Calcoli!$A$7:$A$21,C89),INDEX($T$5:$T$1004,P89)))</f>
        <v/>
      </c>
      <c r="S89" t="str">
        <f>IF(N89="","",IF(B89="Acquisto",Q89+N(D89),MAX(0,Q89-N(D89))))</f>
        <v/>
      </c>
      <c r="T89" t="str">
        <f>IF(N89="","",IF(B89="Acquisto",R89+J89+N(G89),IF(Q89&lt;=0,0,R89*(1-MIN(1,N(D89)/Q89)))))</f>
        <v/>
      </c>
      <c r="U89" t="str">
        <f>IF(B89&lt;&gt;"Vendita","",J89-N(G89)-IF(Q89&lt;=0,0,R89*MIN(1,N(D89)/Q89)))</f>
        <v/>
      </c>
      <c r="V89" t="str">
        <f>IF(B89&lt;&gt;"Dividendo","",IF(Calcoli!$B$251=1,J89,L89))</f>
        <v/>
      </c>
      <c r="W89" t="str">
        <f>IF(AND(V89&lt;&gt;"",ISNUMBER(A89)),A89,"")</f>
        <v/>
      </c>
    </row>
    <row r="90">
      <c r="A90" s="134" t="n"/>
      <c r="B90" s="116" t="n"/>
      <c r="C90" s="116" t="n"/>
      <c r="D90" s="121" t="n"/>
      <c r="E90" s="120" t="n"/>
      <c r="F90" s="120" t="n"/>
      <c r="G90" s="120" t="n"/>
      <c r="H90" s="120" t="n"/>
      <c r="I90" s="117" t="n"/>
      <c r="J90" s="123" t="str">
        <f>IF(B90="","",IF(F90&lt;&gt;"",N(F90),ROUND(N(D90)*N(E90),2)))</f>
        <v/>
      </c>
      <c r="K90" s="123" t="str">
        <f>IF(B90="","",IF(H90&lt;&gt;"",N(H90),IF(B90="Dividendo",ROUND(J90*IFERROR(INDEX(Calcoli!$V$7:$V$21,MATCH(C90,Calcoli!$A$7:$A$21,0)),0.26),2),IF(B90="Vendita",ROUND(MAX(0,U90)*IFERROR(INDEX(Calcoli!$V$7:$V$21,MATCH(C90,Calcoli!$A$7:$A$21,0)),0.26),2),0))))</f>
        <v/>
      </c>
      <c r="L90" s="135" t="str">
        <f>IF(B90="","",IF(B90="Acquisto",-(J90+N(G90)),J90-N(G90)-K90))</f>
        <v/>
      </c>
      <c r="M90" s="127" t="str">
        <f>IF(B90="","",IF(ISNA(MATCH(C90,ETF!$A$7:$A$21,0)),"ETF?",IF(NOT(ISNUMBER(A90)),"Data?",IF(AND(B90&lt;&gt;"Dividendo",N(D90)&lt;=0),"Quote?",IF(AND(B90="Vendita",N(D90)&gt;N(Q90)+0.000001),"Quote?",IF(J90&lt;=0,"Importo?","✓"))))))</f>
        <v/>
      </c>
      <c r="N90" t="str">
        <f>IF(OR(B90="Acquisto",B90="Vendita"),COUNTIFS($C$5:C90,C90,$B$5:B90,"Acquisto")+COUNTIFS($C$5:C90,C90,$B$5:B90,"Vendita"),"")</f>
        <v/>
      </c>
      <c r="O90" t="str">
        <f>IF(N90="","",C90&amp;"|"&amp;N90)</f>
        <v/>
      </c>
      <c r="P90" t="str">
        <f>IF(N90="","",IF(N90=1,0,MATCH(C90&amp;"|"&amp;(N90-1),$O$5:$O$1004,0)))</f>
        <v/>
      </c>
      <c r="Q90" t="str">
        <f>IF(N90="","",IF(P90=0,SUMIFS(Calcoli!$C$7:$C$21,Calcoli!$A$7:$A$21,C90),INDEX($S$5:$S$1004,P90)))</f>
        <v/>
      </c>
      <c r="R90" t="str">
        <f>IF(N90="","",IF(P90=0,SUMIFS(Calcoli!$D$7:$D$21,Calcoli!$A$7:$A$21,C90),INDEX($T$5:$T$1004,P90)))</f>
        <v/>
      </c>
      <c r="S90" t="str">
        <f>IF(N90="","",IF(B90="Acquisto",Q90+N(D90),MAX(0,Q90-N(D90))))</f>
        <v/>
      </c>
      <c r="T90" t="str">
        <f>IF(N90="","",IF(B90="Acquisto",R90+J90+N(G90),IF(Q90&lt;=0,0,R90*(1-MIN(1,N(D90)/Q90)))))</f>
        <v/>
      </c>
      <c r="U90" t="str">
        <f>IF(B90&lt;&gt;"Vendita","",J90-N(G90)-IF(Q90&lt;=0,0,R90*MIN(1,N(D90)/Q90)))</f>
        <v/>
      </c>
      <c r="V90" t="str">
        <f>IF(B90&lt;&gt;"Dividendo","",IF(Calcoli!$B$251=1,J90,L90))</f>
        <v/>
      </c>
      <c r="W90" t="str">
        <f>IF(AND(V90&lt;&gt;"",ISNUMBER(A90)),A90,"")</f>
        <v/>
      </c>
    </row>
    <row r="91">
      <c r="A91" s="134" t="n"/>
      <c r="B91" s="116" t="n"/>
      <c r="C91" s="116" t="n"/>
      <c r="D91" s="121" t="n"/>
      <c r="E91" s="120" t="n"/>
      <c r="F91" s="120" t="n"/>
      <c r="G91" s="120" t="n"/>
      <c r="H91" s="120" t="n"/>
      <c r="I91" s="117" t="n"/>
      <c r="J91" s="123" t="str">
        <f>IF(B91="","",IF(F91&lt;&gt;"",N(F91),ROUND(N(D91)*N(E91),2)))</f>
        <v/>
      </c>
      <c r="K91" s="123" t="str">
        <f>IF(B91="","",IF(H91&lt;&gt;"",N(H91),IF(B91="Dividendo",ROUND(J91*IFERROR(INDEX(Calcoli!$V$7:$V$21,MATCH(C91,Calcoli!$A$7:$A$21,0)),0.26),2),IF(B91="Vendita",ROUND(MAX(0,U91)*IFERROR(INDEX(Calcoli!$V$7:$V$21,MATCH(C91,Calcoli!$A$7:$A$21,0)),0.26),2),0))))</f>
        <v/>
      </c>
      <c r="L91" s="135" t="str">
        <f>IF(B91="","",IF(B91="Acquisto",-(J91+N(G91)),J91-N(G91)-K91))</f>
        <v/>
      </c>
      <c r="M91" s="127" t="str">
        <f>IF(B91="","",IF(ISNA(MATCH(C91,ETF!$A$7:$A$21,0)),"ETF?",IF(NOT(ISNUMBER(A91)),"Data?",IF(AND(B91&lt;&gt;"Dividendo",N(D91)&lt;=0),"Quote?",IF(AND(B91="Vendita",N(D91)&gt;N(Q91)+0.000001),"Quote?",IF(J91&lt;=0,"Importo?","✓"))))))</f>
        <v/>
      </c>
      <c r="N91" t="str">
        <f>IF(OR(B91="Acquisto",B91="Vendita"),COUNTIFS($C$5:C91,C91,$B$5:B91,"Acquisto")+COUNTIFS($C$5:C91,C91,$B$5:B91,"Vendita"),"")</f>
        <v/>
      </c>
      <c r="O91" t="str">
        <f>IF(N91="","",C91&amp;"|"&amp;N91)</f>
        <v/>
      </c>
      <c r="P91" t="str">
        <f>IF(N91="","",IF(N91=1,0,MATCH(C91&amp;"|"&amp;(N91-1),$O$5:$O$1004,0)))</f>
        <v/>
      </c>
      <c r="Q91" t="str">
        <f>IF(N91="","",IF(P91=0,SUMIFS(Calcoli!$C$7:$C$21,Calcoli!$A$7:$A$21,C91),INDEX($S$5:$S$1004,P91)))</f>
        <v/>
      </c>
      <c r="R91" t="str">
        <f>IF(N91="","",IF(P91=0,SUMIFS(Calcoli!$D$7:$D$21,Calcoli!$A$7:$A$21,C91),INDEX($T$5:$T$1004,P91)))</f>
        <v/>
      </c>
      <c r="S91" t="str">
        <f>IF(N91="","",IF(B91="Acquisto",Q91+N(D91),MAX(0,Q91-N(D91))))</f>
        <v/>
      </c>
      <c r="T91" t="str">
        <f>IF(N91="","",IF(B91="Acquisto",R91+J91+N(G91),IF(Q91&lt;=0,0,R91*(1-MIN(1,N(D91)/Q91)))))</f>
        <v/>
      </c>
      <c r="U91" t="str">
        <f>IF(B91&lt;&gt;"Vendita","",J91-N(G91)-IF(Q91&lt;=0,0,R91*MIN(1,N(D91)/Q91)))</f>
        <v/>
      </c>
      <c r="V91" t="str">
        <f>IF(B91&lt;&gt;"Dividendo","",IF(Calcoli!$B$251=1,J91,L91))</f>
        <v/>
      </c>
      <c r="W91" t="str">
        <f>IF(AND(V91&lt;&gt;"",ISNUMBER(A91)),A91,"")</f>
        <v/>
      </c>
    </row>
    <row r="92">
      <c r="A92" s="134" t="n"/>
      <c r="B92" s="116" t="n"/>
      <c r="C92" s="116" t="n"/>
      <c r="D92" s="121" t="n"/>
      <c r="E92" s="120" t="n"/>
      <c r="F92" s="120" t="n"/>
      <c r="G92" s="120" t="n"/>
      <c r="H92" s="120" t="n"/>
      <c r="I92" s="117" t="n"/>
      <c r="J92" s="123" t="str">
        <f>IF(B92="","",IF(F92&lt;&gt;"",N(F92),ROUND(N(D92)*N(E92),2)))</f>
        <v/>
      </c>
      <c r="K92" s="123" t="str">
        <f>IF(B92="","",IF(H92&lt;&gt;"",N(H92),IF(B92="Dividendo",ROUND(J92*IFERROR(INDEX(Calcoli!$V$7:$V$21,MATCH(C92,Calcoli!$A$7:$A$21,0)),0.26),2),IF(B92="Vendita",ROUND(MAX(0,U92)*IFERROR(INDEX(Calcoli!$V$7:$V$21,MATCH(C92,Calcoli!$A$7:$A$21,0)),0.26),2),0))))</f>
        <v/>
      </c>
      <c r="L92" s="135" t="str">
        <f>IF(B92="","",IF(B92="Acquisto",-(J92+N(G92)),J92-N(G92)-K92))</f>
        <v/>
      </c>
      <c r="M92" s="127" t="str">
        <f>IF(B92="","",IF(ISNA(MATCH(C92,ETF!$A$7:$A$21,0)),"ETF?",IF(NOT(ISNUMBER(A92)),"Data?",IF(AND(B92&lt;&gt;"Dividendo",N(D92)&lt;=0),"Quote?",IF(AND(B92="Vendita",N(D92)&gt;N(Q92)+0.000001),"Quote?",IF(J92&lt;=0,"Importo?","✓"))))))</f>
        <v/>
      </c>
      <c r="N92" t="str">
        <f>IF(OR(B92="Acquisto",B92="Vendita"),COUNTIFS($C$5:C92,C92,$B$5:B92,"Acquisto")+COUNTIFS($C$5:C92,C92,$B$5:B92,"Vendita"),"")</f>
        <v/>
      </c>
      <c r="O92" t="str">
        <f>IF(N92="","",C92&amp;"|"&amp;N92)</f>
        <v/>
      </c>
      <c r="P92" t="str">
        <f>IF(N92="","",IF(N92=1,0,MATCH(C92&amp;"|"&amp;(N92-1),$O$5:$O$1004,0)))</f>
        <v/>
      </c>
      <c r="Q92" t="str">
        <f>IF(N92="","",IF(P92=0,SUMIFS(Calcoli!$C$7:$C$21,Calcoli!$A$7:$A$21,C92),INDEX($S$5:$S$1004,P92)))</f>
        <v/>
      </c>
      <c r="R92" t="str">
        <f>IF(N92="","",IF(P92=0,SUMIFS(Calcoli!$D$7:$D$21,Calcoli!$A$7:$A$21,C92),INDEX($T$5:$T$1004,P92)))</f>
        <v/>
      </c>
      <c r="S92" t="str">
        <f>IF(N92="","",IF(B92="Acquisto",Q92+N(D92),MAX(0,Q92-N(D92))))</f>
        <v/>
      </c>
      <c r="T92" t="str">
        <f>IF(N92="","",IF(B92="Acquisto",R92+J92+N(G92),IF(Q92&lt;=0,0,R92*(1-MIN(1,N(D92)/Q92)))))</f>
        <v/>
      </c>
      <c r="U92" t="str">
        <f>IF(B92&lt;&gt;"Vendita","",J92-N(G92)-IF(Q92&lt;=0,0,R92*MIN(1,N(D92)/Q92)))</f>
        <v/>
      </c>
      <c r="V92" t="str">
        <f>IF(B92&lt;&gt;"Dividendo","",IF(Calcoli!$B$251=1,J92,L92))</f>
        <v/>
      </c>
      <c r="W92" t="str">
        <f>IF(AND(V92&lt;&gt;"",ISNUMBER(A92)),A92,"")</f>
        <v/>
      </c>
    </row>
    <row r="93">
      <c r="A93" s="134" t="n"/>
      <c r="B93" s="116" t="n"/>
      <c r="C93" s="116" t="n"/>
      <c r="D93" s="121" t="n"/>
      <c r="E93" s="120" t="n"/>
      <c r="F93" s="120" t="n"/>
      <c r="G93" s="120" t="n"/>
      <c r="H93" s="120" t="n"/>
      <c r="I93" s="117" t="n"/>
      <c r="J93" s="123" t="str">
        <f>IF(B93="","",IF(F93&lt;&gt;"",N(F93),ROUND(N(D93)*N(E93),2)))</f>
        <v/>
      </c>
      <c r="K93" s="123" t="str">
        <f>IF(B93="","",IF(H93&lt;&gt;"",N(H93),IF(B93="Dividendo",ROUND(J93*IFERROR(INDEX(Calcoli!$V$7:$V$21,MATCH(C93,Calcoli!$A$7:$A$21,0)),0.26),2),IF(B93="Vendita",ROUND(MAX(0,U93)*IFERROR(INDEX(Calcoli!$V$7:$V$21,MATCH(C93,Calcoli!$A$7:$A$21,0)),0.26),2),0))))</f>
        <v/>
      </c>
      <c r="L93" s="135" t="str">
        <f>IF(B93="","",IF(B93="Acquisto",-(J93+N(G93)),J93-N(G93)-K93))</f>
        <v/>
      </c>
      <c r="M93" s="127" t="str">
        <f>IF(B93="","",IF(ISNA(MATCH(C93,ETF!$A$7:$A$21,0)),"ETF?",IF(NOT(ISNUMBER(A93)),"Data?",IF(AND(B93&lt;&gt;"Dividendo",N(D93)&lt;=0),"Quote?",IF(AND(B93="Vendita",N(D93)&gt;N(Q93)+0.000001),"Quote?",IF(J93&lt;=0,"Importo?","✓"))))))</f>
        <v/>
      </c>
      <c r="N93" t="str">
        <f>IF(OR(B93="Acquisto",B93="Vendita"),COUNTIFS($C$5:C93,C93,$B$5:B93,"Acquisto")+COUNTIFS($C$5:C93,C93,$B$5:B93,"Vendita"),"")</f>
        <v/>
      </c>
      <c r="O93" t="str">
        <f>IF(N93="","",C93&amp;"|"&amp;N93)</f>
        <v/>
      </c>
      <c r="P93" t="str">
        <f>IF(N93="","",IF(N93=1,0,MATCH(C93&amp;"|"&amp;(N93-1),$O$5:$O$1004,0)))</f>
        <v/>
      </c>
      <c r="Q93" t="str">
        <f>IF(N93="","",IF(P93=0,SUMIFS(Calcoli!$C$7:$C$21,Calcoli!$A$7:$A$21,C93),INDEX($S$5:$S$1004,P93)))</f>
        <v/>
      </c>
      <c r="R93" t="str">
        <f>IF(N93="","",IF(P93=0,SUMIFS(Calcoli!$D$7:$D$21,Calcoli!$A$7:$A$21,C93),INDEX($T$5:$T$1004,P93)))</f>
        <v/>
      </c>
      <c r="S93" t="str">
        <f>IF(N93="","",IF(B93="Acquisto",Q93+N(D93),MAX(0,Q93-N(D93))))</f>
        <v/>
      </c>
      <c r="T93" t="str">
        <f>IF(N93="","",IF(B93="Acquisto",R93+J93+N(G93),IF(Q93&lt;=0,0,R93*(1-MIN(1,N(D93)/Q93)))))</f>
        <v/>
      </c>
      <c r="U93" t="str">
        <f>IF(B93&lt;&gt;"Vendita","",J93-N(G93)-IF(Q93&lt;=0,0,R93*MIN(1,N(D93)/Q93)))</f>
        <v/>
      </c>
      <c r="V93" t="str">
        <f>IF(B93&lt;&gt;"Dividendo","",IF(Calcoli!$B$251=1,J93,L93))</f>
        <v/>
      </c>
      <c r="W93" t="str">
        <f>IF(AND(V93&lt;&gt;"",ISNUMBER(A93)),A93,"")</f>
        <v/>
      </c>
    </row>
    <row r="94">
      <c r="A94" s="134" t="n"/>
      <c r="B94" s="116" t="n"/>
      <c r="C94" s="116" t="n"/>
      <c r="D94" s="121" t="n"/>
      <c r="E94" s="120" t="n"/>
      <c r="F94" s="120" t="n"/>
      <c r="G94" s="120" t="n"/>
      <c r="H94" s="120" t="n"/>
      <c r="I94" s="117" t="n"/>
      <c r="J94" s="123" t="str">
        <f>IF(B94="","",IF(F94&lt;&gt;"",N(F94),ROUND(N(D94)*N(E94),2)))</f>
        <v/>
      </c>
      <c r="K94" s="123" t="str">
        <f>IF(B94="","",IF(H94&lt;&gt;"",N(H94),IF(B94="Dividendo",ROUND(J94*IFERROR(INDEX(Calcoli!$V$7:$V$21,MATCH(C94,Calcoli!$A$7:$A$21,0)),0.26),2),IF(B94="Vendita",ROUND(MAX(0,U94)*IFERROR(INDEX(Calcoli!$V$7:$V$21,MATCH(C94,Calcoli!$A$7:$A$21,0)),0.26),2),0))))</f>
        <v/>
      </c>
      <c r="L94" s="135" t="str">
        <f>IF(B94="","",IF(B94="Acquisto",-(J94+N(G94)),J94-N(G94)-K94))</f>
        <v/>
      </c>
      <c r="M94" s="127" t="str">
        <f>IF(B94="","",IF(ISNA(MATCH(C94,ETF!$A$7:$A$21,0)),"ETF?",IF(NOT(ISNUMBER(A94)),"Data?",IF(AND(B94&lt;&gt;"Dividendo",N(D94)&lt;=0),"Quote?",IF(AND(B94="Vendita",N(D94)&gt;N(Q94)+0.000001),"Quote?",IF(J94&lt;=0,"Importo?","✓"))))))</f>
        <v/>
      </c>
      <c r="N94" t="str">
        <f>IF(OR(B94="Acquisto",B94="Vendita"),COUNTIFS($C$5:C94,C94,$B$5:B94,"Acquisto")+COUNTIFS($C$5:C94,C94,$B$5:B94,"Vendita"),"")</f>
        <v/>
      </c>
      <c r="O94" t="str">
        <f>IF(N94="","",C94&amp;"|"&amp;N94)</f>
        <v/>
      </c>
      <c r="P94" t="str">
        <f>IF(N94="","",IF(N94=1,0,MATCH(C94&amp;"|"&amp;(N94-1),$O$5:$O$1004,0)))</f>
        <v/>
      </c>
      <c r="Q94" t="str">
        <f>IF(N94="","",IF(P94=0,SUMIFS(Calcoli!$C$7:$C$21,Calcoli!$A$7:$A$21,C94),INDEX($S$5:$S$1004,P94)))</f>
        <v/>
      </c>
      <c r="R94" t="str">
        <f>IF(N94="","",IF(P94=0,SUMIFS(Calcoli!$D$7:$D$21,Calcoli!$A$7:$A$21,C94),INDEX($T$5:$T$1004,P94)))</f>
        <v/>
      </c>
      <c r="S94" t="str">
        <f>IF(N94="","",IF(B94="Acquisto",Q94+N(D94),MAX(0,Q94-N(D94))))</f>
        <v/>
      </c>
      <c r="T94" t="str">
        <f>IF(N94="","",IF(B94="Acquisto",R94+J94+N(G94),IF(Q94&lt;=0,0,R94*(1-MIN(1,N(D94)/Q94)))))</f>
        <v/>
      </c>
      <c r="U94" t="str">
        <f>IF(B94&lt;&gt;"Vendita","",J94-N(G94)-IF(Q94&lt;=0,0,R94*MIN(1,N(D94)/Q94)))</f>
        <v/>
      </c>
      <c r="V94" t="str">
        <f>IF(B94&lt;&gt;"Dividendo","",IF(Calcoli!$B$251=1,J94,L94))</f>
        <v/>
      </c>
      <c r="W94" t="str">
        <f>IF(AND(V94&lt;&gt;"",ISNUMBER(A94)),A94,"")</f>
        <v/>
      </c>
    </row>
    <row r="95">
      <c r="A95" s="134" t="n"/>
      <c r="B95" s="116" t="n"/>
      <c r="C95" s="116" t="n"/>
      <c r="D95" s="121" t="n"/>
      <c r="E95" s="120" t="n"/>
      <c r="F95" s="120" t="n"/>
      <c r="G95" s="120" t="n"/>
      <c r="H95" s="120" t="n"/>
      <c r="I95" s="117" t="n"/>
      <c r="J95" s="123" t="str">
        <f>IF(B95="","",IF(F95&lt;&gt;"",N(F95),ROUND(N(D95)*N(E95),2)))</f>
        <v/>
      </c>
      <c r="K95" s="123" t="str">
        <f>IF(B95="","",IF(H95&lt;&gt;"",N(H95),IF(B95="Dividendo",ROUND(J95*IFERROR(INDEX(Calcoli!$V$7:$V$21,MATCH(C95,Calcoli!$A$7:$A$21,0)),0.26),2),IF(B95="Vendita",ROUND(MAX(0,U95)*IFERROR(INDEX(Calcoli!$V$7:$V$21,MATCH(C95,Calcoli!$A$7:$A$21,0)),0.26),2),0))))</f>
        <v/>
      </c>
      <c r="L95" s="135" t="str">
        <f>IF(B95="","",IF(B95="Acquisto",-(J95+N(G95)),J95-N(G95)-K95))</f>
        <v/>
      </c>
      <c r="M95" s="127" t="str">
        <f>IF(B95="","",IF(ISNA(MATCH(C95,ETF!$A$7:$A$21,0)),"ETF?",IF(NOT(ISNUMBER(A95)),"Data?",IF(AND(B95&lt;&gt;"Dividendo",N(D95)&lt;=0),"Quote?",IF(AND(B95="Vendita",N(D95)&gt;N(Q95)+0.000001),"Quote?",IF(J95&lt;=0,"Importo?","✓"))))))</f>
        <v/>
      </c>
      <c r="N95" t="str">
        <f>IF(OR(B95="Acquisto",B95="Vendita"),COUNTIFS($C$5:C95,C95,$B$5:B95,"Acquisto")+COUNTIFS($C$5:C95,C95,$B$5:B95,"Vendita"),"")</f>
        <v/>
      </c>
      <c r="O95" t="str">
        <f>IF(N95="","",C95&amp;"|"&amp;N95)</f>
        <v/>
      </c>
      <c r="P95" t="str">
        <f>IF(N95="","",IF(N95=1,0,MATCH(C95&amp;"|"&amp;(N95-1),$O$5:$O$1004,0)))</f>
        <v/>
      </c>
      <c r="Q95" t="str">
        <f>IF(N95="","",IF(P95=0,SUMIFS(Calcoli!$C$7:$C$21,Calcoli!$A$7:$A$21,C95),INDEX($S$5:$S$1004,P95)))</f>
        <v/>
      </c>
      <c r="R95" t="str">
        <f>IF(N95="","",IF(P95=0,SUMIFS(Calcoli!$D$7:$D$21,Calcoli!$A$7:$A$21,C95),INDEX($T$5:$T$1004,P95)))</f>
        <v/>
      </c>
      <c r="S95" t="str">
        <f>IF(N95="","",IF(B95="Acquisto",Q95+N(D95),MAX(0,Q95-N(D95))))</f>
        <v/>
      </c>
      <c r="T95" t="str">
        <f>IF(N95="","",IF(B95="Acquisto",R95+J95+N(G95),IF(Q95&lt;=0,0,R95*(1-MIN(1,N(D95)/Q95)))))</f>
        <v/>
      </c>
      <c r="U95" t="str">
        <f>IF(B95&lt;&gt;"Vendita","",J95-N(G95)-IF(Q95&lt;=0,0,R95*MIN(1,N(D95)/Q95)))</f>
        <v/>
      </c>
      <c r="V95" t="str">
        <f>IF(B95&lt;&gt;"Dividendo","",IF(Calcoli!$B$251=1,J95,L95))</f>
        <v/>
      </c>
      <c r="W95" t="str">
        <f>IF(AND(V95&lt;&gt;"",ISNUMBER(A95)),A95,"")</f>
        <v/>
      </c>
    </row>
    <row r="96">
      <c r="A96" s="134" t="n"/>
      <c r="B96" s="116" t="n"/>
      <c r="C96" s="116" t="n"/>
      <c r="D96" s="121" t="n"/>
      <c r="E96" s="120" t="n"/>
      <c r="F96" s="120" t="n"/>
      <c r="G96" s="120" t="n"/>
      <c r="H96" s="120" t="n"/>
      <c r="I96" s="117" t="n"/>
      <c r="J96" s="123" t="str">
        <f>IF(B96="","",IF(F96&lt;&gt;"",N(F96),ROUND(N(D96)*N(E96),2)))</f>
        <v/>
      </c>
      <c r="K96" s="123" t="str">
        <f>IF(B96="","",IF(H96&lt;&gt;"",N(H96),IF(B96="Dividendo",ROUND(J96*IFERROR(INDEX(Calcoli!$V$7:$V$21,MATCH(C96,Calcoli!$A$7:$A$21,0)),0.26),2),IF(B96="Vendita",ROUND(MAX(0,U96)*IFERROR(INDEX(Calcoli!$V$7:$V$21,MATCH(C96,Calcoli!$A$7:$A$21,0)),0.26),2),0))))</f>
        <v/>
      </c>
      <c r="L96" s="135" t="str">
        <f>IF(B96="","",IF(B96="Acquisto",-(J96+N(G96)),J96-N(G96)-K96))</f>
        <v/>
      </c>
      <c r="M96" s="127" t="str">
        <f>IF(B96="","",IF(ISNA(MATCH(C96,ETF!$A$7:$A$21,0)),"ETF?",IF(NOT(ISNUMBER(A96)),"Data?",IF(AND(B96&lt;&gt;"Dividendo",N(D96)&lt;=0),"Quote?",IF(AND(B96="Vendita",N(D96)&gt;N(Q96)+0.000001),"Quote?",IF(J96&lt;=0,"Importo?","✓"))))))</f>
        <v/>
      </c>
      <c r="N96" t="str">
        <f>IF(OR(B96="Acquisto",B96="Vendita"),COUNTIFS($C$5:C96,C96,$B$5:B96,"Acquisto")+COUNTIFS($C$5:C96,C96,$B$5:B96,"Vendita"),"")</f>
        <v/>
      </c>
      <c r="O96" t="str">
        <f>IF(N96="","",C96&amp;"|"&amp;N96)</f>
        <v/>
      </c>
      <c r="P96" t="str">
        <f>IF(N96="","",IF(N96=1,0,MATCH(C96&amp;"|"&amp;(N96-1),$O$5:$O$1004,0)))</f>
        <v/>
      </c>
      <c r="Q96" t="str">
        <f>IF(N96="","",IF(P96=0,SUMIFS(Calcoli!$C$7:$C$21,Calcoli!$A$7:$A$21,C96),INDEX($S$5:$S$1004,P96)))</f>
        <v/>
      </c>
      <c r="R96" t="str">
        <f>IF(N96="","",IF(P96=0,SUMIFS(Calcoli!$D$7:$D$21,Calcoli!$A$7:$A$21,C96),INDEX($T$5:$T$1004,P96)))</f>
        <v/>
      </c>
      <c r="S96" t="str">
        <f>IF(N96="","",IF(B96="Acquisto",Q96+N(D96),MAX(0,Q96-N(D96))))</f>
        <v/>
      </c>
      <c r="T96" t="str">
        <f>IF(N96="","",IF(B96="Acquisto",R96+J96+N(G96),IF(Q96&lt;=0,0,R96*(1-MIN(1,N(D96)/Q96)))))</f>
        <v/>
      </c>
      <c r="U96" t="str">
        <f>IF(B96&lt;&gt;"Vendita","",J96-N(G96)-IF(Q96&lt;=0,0,R96*MIN(1,N(D96)/Q96)))</f>
        <v/>
      </c>
      <c r="V96" t="str">
        <f>IF(B96&lt;&gt;"Dividendo","",IF(Calcoli!$B$251=1,J96,L96))</f>
        <v/>
      </c>
      <c r="W96" t="str">
        <f>IF(AND(V96&lt;&gt;"",ISNUMBER(A96)),A96,"")</f>
        <v/>
      </c>
    </row>
    <row r="97">
      <c r="A97" s="134" t="n"/>
      <c r="B97" s="116" t="n"/>
      <c r="C97" s="116" t="n"/>
      <c r="D97" s="121" t="n"/>
      <c r="E97" s="120" t="n"/>
      <c r="F97" s="120" t="n"/>
      <c r="G97" s="120" t="n"/>
      <c r="H97" s="120" t="n"/>
      <c r="I97" s="117" t="n"/>
      <c r="J97" s="123" t="str">
        <f>IF(B97="","",IF(F97&lt;&gt;"",N(F97),ROUND(N(D97)*N(E97),2)))</f>
        <v/>
      </c>
      <c r="K97" s="123" t="str">
        <f>IF(B97="","",IF(H97&lt;&gt;"",N(H97),IF(B97="Dividendo",ROUND(J97*IFERROR(INDEX(Calcoli!$V$7:$V$21,MATCH(C97,Calcoli!$A$7:$A$21,0)),0.26),2),IF(B97="Vendita",ROUND(MAX(0,U97)*IFERROR(INDEX(Calcoli!$V$7:$V$21,MATCH(C97,Calcoli!$A$7:$A$21,0)),0.26),2),0))))</f>
        <v/>
      </c>
      <c r="L97" s="135" t="str">
        <f>IF(B97="","",IF(B97="Acquisto",-(J97+N(G97)),J97-N(G97)-K97))</f>
        <v/>
      </c>
      <c r="M97" s="127" t="str">
        <f>IF(B97="","",IF(ISNA(MATCH(C97,ETF!$A$7:$A$21,0)),"ETF?",IF(NOT(ISNUMBER(A97)),"Data?",IF(AND(B97&lt;&gt;"Dividendo",N(D97)&lt;=0),"Quote?",IF(AND(B97="Vendita",N(D97)&gt;N(Q97)+0.000001),"Quote?",IF(J97&lt;=0,"Importo?","✓"))))))</f>
        <v/>
      </c>
      <c r="N97" t="str">
        <f>IF(OR(B97="Acquisto",B97="Vendita"),COUNTIFS($C$5:C97,C97,$B$5:B97,"Acquisto")+COUNTIFS($C$5:C97,C97,$B$5:B97,"Vendita"),"")</f>
        <v/>
      </c>
      <c r="O97" t="str">
        <f>IF(N97="","",C97&amp;"|"&amp;N97)</f>
        <v/>
      </c>
      <c r="P97" t="str">
        <f>IF(N97="","",IF(N97=1,0,MATCH(C97&amp;"|"&amp;(N97-1),$O$5:$O$1004,0)))</f>
        <v/>
      </c>
      <c r="Q97" t="str">
        <f>IF(N97="","",IF(P97=0,SUMIFS(Calcoli!$C$7:$C$21,Calcoli!$A$7:$A$21,C97),INDEX($S$5:$S$1004,P97)))</f>
        <v/>
      </c>
      <c r="R97" t="str">
        <f>IF(N97="","",IF(P97=0,SUMIFS(Calcoli!$D$7:$D$21,Calcoli!$A$7:$A$21,C97),INDEX($T$5:$T$1004,P97)))</f>
        <v/>
      </c>
      <c r="S97" t="str">
        <f>IF(N97="","",IF(B97="Acquisto",Q97+N(D97),MAX(0,Q97-N(D97))))</f>
        <v/>
      </c>
      <c r="T97" t="str">
        <f>IF(N97="","",IF(B97="Acquisto",R97+J97+N(G97),IF(Q97&lt;=0,0,R97*(1-MIN(1,N(D97)/Q97)))))</f>
        <v/>
      </c>
      <c r="U97" t="str">
        <f>IF(B97&lt;&gt;"Vendita","",J97-N(G97)-IF(Q97&lt;=0,0,R97*MIN(1,N(D97)/Q97)))</f>
        <v/>
      </c>
      <c r="V97" t="str">
        <f>IF(B97&lt;&gt;"Dividendo","",IF(Calcoli!$B$251=1,J97,L97))</f>
        <v/>
      </c>
      <c r="W97" t="str">
        <f>IF(AND(V97&lt;&gt;"",ISNUMBER(A97)),A97,"")</f>
        <v/>
      </c>
    </row>
    <row r="98">
      <c r="A98" s="134" t="n"/>
      <c r="B98" s="116" t="n"/>
      <c r="C98" s="116" t="n"/>
      <c r="D98" s="121" t="n"/>
      <c r="E98" s="120" t="n"/>
      <c r="F98" s="120" t="n"/>
      <c r="G98" s="120" t="n"/>
      <c r="H98" s="120" t="n"/>
      <c r="I98" s="117" t="n"/>
      <c r="J98" s="123" t="str">
        <f>IF(B98="","",IF(F98&lt;&gt;"",N(F98),ROUND(N(D98)*N(E98),2)))</f>
        <v/>
      </c>
      <c r="K98" s="123" t="str">
        <f>IF(B98="","",IF(H98&lt;&gt;"",N(H98),IF(B98="Dividendo",ROUND(J98*IFERROR(INDEX(Calcoli!$V$7:$V$21,MATCH(C98,Calcoli!$A$7:$A$21,0)),0.26),2),IF(B98="Vendita",ROUND(MAX(0,U98)*IFERROR(INDEX(Calcoli!$V$7:$V$21,MATCH(C98,Calcoli!$A$7:$A$21,0)),0.26),2),0))))</f>
        <v/>
      </c>
      <c r="L98" s="135" t="str">
        <f>IF(B98="","",IF(B98="Acquisto",-(J98+N(G98)),J98-N(G98)-K98))</f>
        <v/>
      </c>
      <c r="M98" s="127" t="str">
        <f>IF(B98="","",IF(ISNA(MATCH(C98,ETF!$A$7:$A$21,0)),"ETF?",IF(NOT(ISNUMBER(A98)),"Data?",IF(AND(B98&lt;&gt;"Dividendo",N(D98)&lt;=0),"Quote?",IF(AND(B98="Vendita",N(D98)&gt;N(Q98)+0.000001),"Quote?",IF(J98&lt;=0,"Importo?","✓"))))))</f>
        <v/>
      </c>
      <c r="N98" t="str">
        <f>IF(OR(B98="Acquisto",B98="Vendita"),COUNTIFS($C$5:C98,C98,$B$5:B98,"Acquisto")+COUNTIFS($C$5:C98,C98,$B$5:B98,"Vendita"),"")</f>
        <v/>
      </c>
      <c r="O98" t="str">
        <f>IF(N98="","",C98&amp;"|"&amp;N98)</f>
        <v/>
      </c>
      <c r="P98" t="str">
        <f>IF(N98="","",IF(N98=1,0,MATCH(C98&amp;"|"&amp;(N98-1),$O$5:$O$1004,0)))</f>
        <v/>
      </c>
      <c r="Q98" t="str">
        <f>IF(N98="","",IF(P98=0,SUMIFS(Calcoli!$C$7:$C$21,Calcoli!$A$7:$A$21,C98),INDEX($S$5:$S$1004,P98)))</f>
        <v/>
      </c>
      <c r="R98" t="str">
        <f>IF(N98="","",IF(P98=0,SUMIFS(Calcoli!$D$7:$D$21,Calcoli!$A$7:$A$21,C98),INDEX($T$5:$T$1004,P98)))</f>
        <v/>
      </c>
      <c r="S98" t="str">
        <f>IF(N98="","",IF(B98="Acquisto",Q98+N(D98),MAX(0,Q98-N(D98))))</f>
        <v/>
      </c>
      <c r="T98" t="str">
        <f>IF(N98="","",IF(B98="Acquisto",R98+J98+N(G98),IF(Q98&lt;=0,0,R98*(1-MIN(1,N(D98)/Q98)))))</f>
        <v/>
      </c>
      <c r="U98" t="str">
        <f>IF(B98&lt;&gt;"Vendita","",J98-N(G98)-IF(Q98&lt;=0,0,R98*MIN(1,N(D98)/Q98)))</f>
        <v/>
      </c>
      <c r="V98" t="str">
        <f>IF(B98&lt;&gt;"Dividendo","",IF(Calcoli!$B$251=1,J98,L98))</f>
        <v/>
      </c>
      <c r="W98" t="str">
        <f>IF(AND(V98&lt;&gt;"",ISNUMBER(A98)),A98,"")</f>
        <v/>
      </c>
    </row>
    <row r="99">
      <c r="A99" s="134" t="n"/>
      <c r="B99" s="116" t="n"/>
      <c r="C99" s="116" t="n"/>
      <c r="D99" s="121" t="n"/>
      <c r="E99" s="120" t="n"/>
      <c r="F99" s="120" t="n"/>
      <c r="G99" s="120" t="n"/>
      <c r="H99" s="120" t="n"/>
      <c r="I99" s="117" t="n"/>
      <c r="J99" s="123" t="str">
        <f>IF(B99="","",IF(F99&lt;&gt;"",N(F99),ROUND(N(D99)*N(E99),2)))</f>
        <v/>
      </c>
      <c r="K99" s="123" t="str">
        <f>IF(B99="","",IF(H99&lt;&gt;"",N(H99),IF(B99="Dividendo",ROUND(J99*IFERROR(INDEX(Calcoli!$V$7:$V$21,MATCH(C99,Calcoli!$A$7:$A$21,0)),0.26),2),IF(B99="Vendita",ROUND(MAX(0,U99)*IFERROR(INDEX(Calcoli!$V$7:$V$21,MATCH(C99,Calcoli!$A$7:$A$21,0)),0.26),2),0))))</f>
        <v/>
      </c>
      <c r="L99" s="135" t="str">
        <f>IF(B99="","",IF(B99="Acquisto",-(J99+N(G99)),J99-N(G99)-K99))</f>
        <v/>
      </c>
      <c r="M99" s="127" t="str">
        <f>IF(B99="","",IF(ISNA(MATCH(C99,ETF!$A$7:$A$21,0)),"ETF?",IF(NOT(ISNUMBER(A99)),"Data?",IF(AND(B99&lt;&gt;"Dividendo",N(D99)&lt;=0),"Quote?",IF(AND(B99="Vendita",N(D99)&gt;N(Q99)+0.000001),"Quote?",IF(J99&lt;=0,"Importo?","✓"))))))</f>
        <v/>
      </c>
      <c r="N99" t="str">
        <f>IF(OR(B99="Acquisto",B99="Vendita"),COUNTIFS($C$5:C99,C99,$B$5:B99,"Acquisto")+COUNTIFS($C$5:C99,C99,$B$5:B99,"Vendita"),"")</f>
        <v/>
      </c>
      <c r="O99" t="str">
        <f>IF(N99="","",C99&amp;"|"&amp;N99)</f>
        <v/>
      </c>
      <c r="P99" t="str">
        <f>IF(N99="","",IF(N99=1,0,MATCH(C99&amp;"|"&amp;(N99-1),$O$5:$O$1004,0)))</f>
        <v/>
      </c>
      <c r="Q99" t="str">
        <f>IF(N99="","",IF(P99=0,SUMIFS(Calcoli!$C$7:$C$21,Calcoli!$A$7:$A$21,C99),INDEX($S$5:$S$1004,P99)))</f>
        <v/>
      </c>
      <c r="R99" t="str">
        <f>IF(N99="","",IF(P99=0,SUMIFS(Calcoli!$D$7:$D$21,Calcoli!$A$7:$A$21,C99),INDEX($T$5:$T$1004,P99)))</f>
        <v/>
      </c>
      <c r="S99" t="str">
        <f>IF(N99="","",IF(B99="Acquisto",Q99+N(D99),MAX(0,Q99-N(D99))))</f>
        <v/>
      </c>
      <c r="T99" t="str">
        <f>IF(N99="","",IF(B99="Acquisto",R99+J99+N(G99),IF(Q99&lt;=0,0,R99*(1-MIN(1,N(D99)/Q99)))))</f>
        <v/>
      </c>
      <c r="U99" t="str">
        <f>IF(B99&lt;&gt;"Vendita","",J99-N(G99)-IF(Q99&lt;=0,0,R99*MIN(1,N(D99)/Q99)))</f>
        <v/>
      </c>
      <c r="V99" t="str">
        <f>IF(B99&lt;&gt;"Dividendo","",IF(Calcoli!$B$251=1,J99,L99))</f>
        <v/>
      </c>
      <c r="W99" t="str">
        <f>IF(AND(V99&lt;&gt;"",ISNUMBER(A99)),A99,"")</f>
        <v/>
      </c>
    </row>
    <row r="100">
      <c r="A100" s="134" t="n"/>
      <c r="B100" s="116" t="n"/>
      <c r="C100" s="116" t="n"/>
      <c r="D100" s="121" t="n"/>
      <c r="E100" s="120" t="n"/>
      <c r="F100" s="120" t="n"/>
      <c r="G100" s="120" t="n"/>
      <c r="H100" s="120" t="n"/>
      <c r="I100" s="117" t="n"/>
      <c r="J100" s="123" t="str">
        <f>IF(B100="","",IF(F100&lt;&gt;"",N(F100),ROUND(N(D100)*N(E100),2)))</f>
        <v/>
      </c>
      <c r="K100" s="123" t="str">
        <f>IF(B100="","",IF(H100&lt;&gt;"",N(H100),IF(B100="Dividendo",ROUND(J100*IFERROR(INDEX(Calcoli!$V$7:$V$21,MATCH(C100,Calcoli!$A$7:$A$21,0)),0.26),2),IF(B100="Vendita",ROUND(MAX(0,U100)*IFERROR(INDEX(Calcoli!$V$7:$V$21,MATCH(C100,Calcoli!$A$7:$A$21,0)),0.26),2),0))))</f>
        <v/>
      </c>
      <c r="L100" s="135" t="str">
        <f>IF(B100="","",IF(B100="Acquisto",-(J100+N(G100)),J100-N(G100)-K100))</f>
        <v/>
      </c>
      <c r="M100" s="127" t="str">
        <f>IF(B100="","",IF(ISNA(MATCH(C100,ETF!$A$7:$A$21,0)),"ETF?",IF(NOT(ISNUMBER(A100)),"Data?",IF(AND(B100&lt;&gt;"Dividendo",N(D100)&lt;=0),"Quote?",IF(AND(B100="Vendita",N(D100)&gt;N(Q100)+0.000001),"Quote?",IF(J100&lt;=0,"Importo?","✓"))))))</f>
        <v/>
      </c>
      <c r="N100" t="str">
        <f>IF(OR(B100="Acquisto",B100="Vendita"),COUNTIFS($C$5:C100,C100,$B$5:B100,"Acquisto")+COUNTIFS($C$5:C100,C100,$B$5:B100,"Vendita"),"")</f>
        <v/>
      </c>
      <c r="O100" t="str">
        <f>IF(N100="","",C100&amp;"|"&amp;N100)</f>
        <v/>
      </c>
      <c r="P100" t="str">
        <f>IF(N100="","",IF(N100=1,0,MATCH(C100&amp;"|"&amp;(N100-1),$O$5:$O$1004,0)))</f>
        <v/>
      </c>
      <c r="Q100" t="str">
        <f>IF(N100="","",IF(P100=0,SUMIFS(Calcoli!$C$7:$C$21,Calcoli!$A$7:$A$21,C100),INDEX($S$5:$S$1004,P100)))</f>
        <v/>
      </c>
      <c r="R100" t="str">
        <f>IF(N100="","",IF(P100=0,SUMIFS(Calcoli!$D$7:$D$21,Calcoli!$A$7:$A$21,C100),INDEX($T$5:$T$1004,P100)))</f>
        <v/>
      </c>
      <c r="S100" t="str">
        <f>IF(N100="","",IF(B100="Acquisto",Q100+N(D100),MAX(0,Q100-N(D100))))</f>
        <v/>
      </c>
      <c r="T100" t="str">
        <f>IF(N100="","",IF(B100="Acquisto",R100+J100+N(G100),IF(Q100&lt;=0,0,R100*(1-MIN(1,N(D100)/Q100)))))</f>
        <v/>
      </c>
      <c r="U100" t="str">
        <f>IF(B100&lt;&gt;"Vendita","",J100-N(G100)-IF(Q100&lt;=0,0,R100*MIN(1,N(D100)/Q100)))</f>
        <v/>
      </c>
      <c r="V100" t="str">
        <f>IF(B100&lt;&gt;"Dividendo","",IF(Calcoli!$B$251=1,J100,L100))</f>
        <v/>
      </c>
      <c r="W100" t="str">
        <f>IF(AND(V100&lt;&gt;"",ISNUMBER(A100)),A100,"")</f>
        <v/>
      </c>
    </row>
    <row r="101">
      <c r="A101" s="134" t="n"/>
      <c r="B101" s="116" t="n"/>
      <c r="C101" s="116" t="n"/>
      <c r="D101" s="121" t="n"/>
      <c r="E101" s="120" t="n"/>
      <c r="F101" s="120" t="n"/>
      <c r="G101" s="120" t="n"/>
      <c r="H101" s="120" t="n"/>
      <c r="I101" s="117" t="n"/>
      <c r="J101" s="123" t="str">
        <f>IF(B101="","",IF(F101&lt;&gt;"",N(F101),ROUND(N(D101)*N(E101),2)))</f>
        <v/>
      </c>
      <c r="K101" s="123" t="str">
        <f>IF(B101="","",IF(H101&lt;&gt;"",N(H101),IF(B101="Dividendo",ROUND(J101*IFERROR(INDEX(Calcoli!$V$7:$V$21,MATCH(C101,Calcoli!$A$7:$A$21,0)),0.26),2),IF(B101="Vendita",ROUND(MAX(0,U101)*IFERROR(INDEX(Calcoli!$V$7:$V$21,MATCH(C101,Calcoli!$A$7:$A$21,0)),0.26),2),0))))</f>
        <v/>
      </c>
      <c r="L101" s="135" t="str">
        <f>IF(B101="","",IF(B101="Acquisto",-(J101+N(G101)),J101-N(G101)-K101))</f>
        <v/>
      </c>
      <c r="M101" s="127" t="str">
        <f>IF(B101="","",IF(ISNA(MATCH(C101,ETF!$A$7:$A$21,0)),"ETF?",IF(NOT(ISNUMBER(A101)),"Data?",IF(AND(B101&lt;&gt;"Dividendo",N(D101)&lt;=0),"Quote?",IF(AND(B101="Vendita",N(D101)&gt;N(Q101)+0.000001),"Quote?",IF(J101&lt;=0,"Importo?","✓"))))))</f>
        <v/>
      </c>
      <c r="N101" t="str">
        <f>IF(OR(B101="Acquisto",B101="Vendita"),COUNTIFS($C$5:C101,C101,$B$5:B101,"Acquisto")+COUNTIFS($C$5:C101,C101,$B$5:B101,"Vendita"),"")</f>
        <v/>
      </c>
      <c r="O101" t="str">
        <f>IF(N101="","",C101&amp;"|"&amp;N101)</f>
        <v/>
      </c>
      <c r="P101" t="str">
        <f>IF(N101="","",IF(N101=1,0,MATCH(C101&amp;"|"&amp;(N101-1),$O$5:$O$1004,0)))</f>
        <v/>
      </c>
      <c r="Q101" t="str">
        <f>IF(N101="","",IF(P101=0,SUMIFS(Calcoli!$C$7:$C$21,Calcoli!$A$7:$A$21,C101),INDEX($S$5:$S$1004,P101)))</f>
        <v/>
      </c>
      <c r="R101" t="str">
        <f>IF(N101="","",IF(P101=0,SUMIFS(Calcoli!$D$7:$D$21,Calcoli!$A$7:$A$21,C101),INDEX($T$5:$T$1004,P101)))</f>
        <v/>
      </c>
      <c r="S101" t="str">
        <f>IF(N101="","",IF(B101="Acquisto",Q101+N(D101),MAX(0,Q101-N(D101))))</f>
        <v/>
      </c>
      <c r="T101" t="str">
        <f>IF(N101="","",IF(B101="Acquisto",R101+J101+N(G101),IF(Q101&lt;=0,0,R101*(1-MIN(1,N(D101)/Q101)))))</f>
        <v/>
      </c>
      <c r="U101" t="str">
        <f>IF(B101&lt;&gt;"Vendita","",J101-N(G101)-IF(Q101&lt;=0,0,R101*MIN(1,N(D101)/Q101)))</f>
        <v/>
      </c>
      <c r="V101" t="str">
        <f>IF(B101&lt;&gt;"Dividendo","",IF(Calcoli!$B$251=1,J101,L101))</f>
        <v/>
      </c>
      <c r="W101" t="str">
        <f>IF(AND(V101&lt;&gt;"",ISNUMBER(A101)),A101,"")</f>
        <v/>
      </c>
    </row>
    <row r="102">
      <c r="A102" s="134" t="n"/>
      <c r="B102" s="116" t="n"/>
      <c r="C102" s="116" t="n"/>
      <c r="D102" s="121" t="n"/>
      <c r="E102" s="120" t="n"/>
      <c r="F102" s="120" t="n"/>
      <c r="G102" s="120" t="n"/>
      <c r="H102" s="120" t="n"/>
      <c r="I102" s="117" t="n"/>
      <c r="J102" s="123" t="str">
        <f>IF(B102="","",IF(F102&lt;&gt;"",N(F102),ROUND(N(D102)*N(E102),2)))</f>
        <v/>
      </c>
      <c r="K102" s="123" t="str">
        <f>IF(B102="","",IF(H102&lt;&gt;"",N(H102),IF(B102="Dividendo",ROUND(J102*IFERROR(INDEX(Calcoli!$V$7:$V$21,MATCH(C102,Calcoli!$A$7:$A$21,0)),0.26),2),IF(B102="Vendita",ROUND(MAX(0,U102)*IFERROR(INDEX(Calcoli!$V$7:$V$21,MATCH(C102,Calcoli!$A$7:$A$21,0)),0.26),2),0))))</f>
        <v/>
      </c>
      <c r="L102" s="135" t="str">
        <f>IF(B102="","",IF(B102="Acquisto",-(J102+N(G102)),J102-N(G102)-K102))</f>
        <v/>
      </c>
      <c r="M102" s="127" t="str">
        <f>IF(B102="","",IF(ISNA(MATCH(C102,ETF!$A$7:$A$21,0)),"ETF?",IF(NOT(ISNUMBER(A102)),"Data?",IF(AND(B102&lt;&gt;"Dividendo",N(D102)&lt;=0),"Quote?",IF(AND(B102="Vendita",N(D102)&gt;N(Q102)+0.000001),"Quote?",IF(J102&lt;=0,"Importo?","✓"))))))</f>
        <v/>
      </c>
      <c r="N102" t="str">
        <f>IF(OR(B102="Acquisto",B102="Vendita"),COUNTIFS($C$5:C102,C102,$B$5:B102,"Acquisto")+COUNTIFS($C$5:C102,C102,$B$5:B102,"Vendita"),"")</f>
        <v/>
      </c>
      <c r="O102" t="str">
        <f>IF(N102="","",C102&amp;"|"&amp;N102)</f>
        <v/>
      </c>
      <c r="P102" t="str">
        <f>IF(N102="","",IF(N102=1,0,MATCH(C102&amp;"|"&amp;(N102-1),$O$5:$O$1004,0)))</f>
        <v/>
      </c>
      <c r="Q102" t="str">
        <f>IF(N102="","",IF(P102=0,SUMIFS(Calcoli!$C$7:$C$21,Calcoli!$A$7:$A$21,C102),INDEX($S$5:$S$1004,P102)))</f>
        <v/>
      </c>
      <c r="R102" t="str">
        <f>IF(N102="","",IF(P102=0,SUMIFS(Calcoli!$D$7:$D$21,Calcoli!$A$7:$A$21,C102),INDEX($T$5:$T$1004,P102)))</f>
        <v/>
      </c>
      <c r="S102" t="str">
        <f>IF(N102="","",IF(B102="Acquisto",Q102+N(D102),MAX(0,Q102-N(D102))))</f>
        <v/>
      </c>
      <c r="T102" t="str">
        <f>IF(N102="","",IF(B102="Acquisto",R102+J102+N(G102),IF(Q102&lt;=0,0,R102*(1-MIN(1,N(D102)/Q102)))))</f>
        <v/>
      </c>
      <c r="U102" t="str">
        <f>IF(B102&lt;&gt;"Vendita","",J102-N(G102)-IF(Q102&lt;=0,0,R102*MIN(1,N(D102)/Q102)))</f>
        <v/>
      </c>
      <c r="V102" t="str">
        <f>IF(B102&lt;&gt;"Dividendo","",IF(Calcoli!$B$251=1,J102,L102))</f>
        <v/>
      </c>
      <c r="W102" t="str">
        <f>IF(AND(V102&lt;&gt;"",ISNUMBER(A102)),A102,"")</f>
        <v/>
      </c>
    </row>
    <row r="103">
      <c r="A103" s="134" t="n"/>
      <c r="B103" s="116" t="n"/>
      <c r="C103" s="116" t="n"/>
      <c r="D103" s="121" t="n"/>
      <c r="E103" s="120" t="n"/>
      <c r="F103" s="120" t="n"/>
      <c r="G103" s="120" t="n"/>
      <c r="H103" s="120" t="n"/>
      <c r="I103" s="117" t="n"/>
      <c r="J103" s="123" t="str">
        <f>IF(B103="","",IF(F103&lt;&gt;"",N(F103),ROUND(N(D103)*N(E103),2)))</f>
        <v/>
      </c>
      <c r="K103" s="123" t="str">
        <f>IF(B103="","",IF(H103&lt;&gt;"",N(H103),IF(B103="Dividendo",ROUND(J103*IFERROR(INDEX(Calcoli!$V$7:$V$21,MATCH(C103,Calcoli!$A$7:$A$21,0)),0.26),2),IF(B103="Vendita",ROUND(MAX(0,U103)*IFERROR(INDEX(Calcoli!$V$7:$V$21,MATCH(C103,Calcoli!$A$7:$A$21,0)),0.26),2),0))))</f>
        <v/>
      </c>
      <c r="L103" s="135" t="str">
        <f>IF(B103="","",IF(B103="Acquisto",-(J103+N(G103)),J103-N(G103)-K103))</f>
        <v/>
      </c>
      <c r="M103" s="127" t="str">
        <f>IF(B103="","",IF(ISNA(MATCH(C103,ETF!$A$7:$A$21,0)),"ETF?",IF(NOT(ISNUMBER(A103)),"Data?",IF(AND(B103&lt;&gt;"Dividendo",N(D103)&lt;=0),"Quote?",IF(AND(B103="Vendita",N(D103)&gt;N(Q103)+0.000001),"Quote?",IF(J103&lt;=0,"Importo?","✓"))))))</f>
        <v/>
      </c>
      <c r="N103" t="str">
        <f>IF(OR(B103="Acquisto",B103="Vendita"),COUNTIFS($C$5:C103,C103,$B$5:B103,"Acquisto")+COUNTIFS($C$5:C103,C103,$B$5:B103,"Vendita"),"")</f>
        <v/>
      </c>
      <c r="O103" t="str">
        <f>IF(N103="","",C103&amp;"|"&amp;N103)</f>
        <v/>
      </c>
      <c r="P103" t="str">
        <f>IF(N103="","",IF(N103=1,0,MATCH(C103&amp;"|"&amp;(N103-1),$O$5:$O$1004,0)))</f>
        <v/>
      </c>
      <c r="Q103" t="str">
        <f>IF(N103="","",IF(P103=0,SUMIFS(Calcoli!$C$7:$C$21,Calcoli!$A$7:$A$21,C103),INDEX($S$5:$S$1004,P103)))</f>
        <v/>
      </c>
      <c r="R103" t="str">
        <f>IF(N103="","",IF(P103=0,SUMIFS(Calcoli!$D$7:$D$21,Calcoli!$A$7:$A$21,C103),INDEX($T$5:$T$1004,P103)))</f>
        <v/>
      </c>
      <c r="S103" t="str">
        <f>IF(N103="","",IF(B103="Acquisto",Q103+N(D103),MAX(0,Q103-N(D103))))</f>
        <v/>
      </c>
      <c r="T103" t="str">
        <f>IF(N103="","",IF(B103="Acquisto",R103+J103+N(G103),IF(Q103&lt;=0,0,R103*(1-MIN(1,N(D103)/Q103)))))</f>
        <v/>
      </c>
      <c r="U103" t="str">
        <f>IF(B103&lt;&gt;"Vendita","",J103-N(G103)-IF(Q103&lt;=0,0,R103*MIN(1,N(D103)/Q103)))</f>
        <v/>
      </c>
      <c r="V103" t="str">
        <f>IF(B103&lt;&gt;"Dividendo","",IF(Calcoli!$B$251=1,J103,L103))</f>
        <v/>
      </c>
      <c r="W103" t="str">
        <f>IF(AND(V103&lt;&gt;"",ISNUMBER(A103)),A103,"")</f>
        <v/>
      </c>
    </row>
    <row r="104">
      <c r="A104" s="134" t="n"/>
      <c r="B104" s="116" t="n"/>
      <c r="C104" s="116" t="n"/>
      <c r="D104" s="121" t="n"/>
      <c r="E104" s="120" t="n"/>
      <c r="F104" s="120" t="n"/>
      <c r="G104" s="120" t="n"/>
      <c r="H104" s="120" t="n"/>
      <c r="I104" s="117" t="n"/>
      <c r="J104" s="123" t="str">
        <f>IF(B104="","",IF(F104&lt;&gt;"",N(F104),ROUND(N(D104)*N(E104),2)))</f>
        <v/>
      </c>
      <c r="K104" s="123" t="str">
        <f>IF(B104="","",IF(H104&lt;&gt;"",N(H104),IF(B104="Dividendo",ROUND(J104*IFERROR(INDEX(Calcoli!$V$7:$V$21,MATCH(C104,Calcoli!$A$7:$A$21,0)),0.26),2),IF(B104="Vendita",ROUND(MAX(0,U104)*IFERROR(INDEX(Calcoli!$V$7:$V$21,MATCH(C104,Calcoli!$A$7:$A$21,0)),0.26),2),0))))</f>
        <v/>
      </c>
      <c r="L104" s="135" t="str">
        <f>IF(B104="","",IF(B104="Acquisto",-(J104+N(G104)),J104-N(G104)-K104))</f>
        <v/>
      </c>
      <c r="M104" s="127" t="str">
        <f>IF(B104="","",IF(ISNA(MATCH(C104,ETF!$A$7:$A$21,0)),"ETF?",IF(NOT(ISNUMBER(A104)),"Data?",IF(AND(B104&lt;&gt;"Dividendo",N(D104)&lt;=0),"Quote?",IF(AND(B104="Vendita",N(D104)&gt;N(Q104)+0.000001),"Quote?",IF(J104&lt;=0,"Importo?","✓"))))))</f>
        <v/>
      </c>
      <c r="N104" t="str">
        <f>IF(OR(B104="Acquisto",B104="Vendita"),COUNTIFS($C$5:C104,C104,$B$5:B104,"Acquisto")+COUNTIFS($C$5:C104,C104,$B$5:B104,"Vendita"),"")</f>
        <v/>
      </c>
      <c r="O104" t="str">
        <f>IF(N104="","",C104&amp;"|"&amp;N104)</f>
        <v/>
      </c>
      <c r="P104" t="str">
        <f>IF(N104="","",IF(N104=1,0,MATCH(C104&amp;"|"&amp;(N104-1),$O$5:$O$1004,0)))</f>
        <v/>
      </c>
      <c r="Q104" t="str">
        <f>IF(N104="","",IF(P104=0,SUMIFS(Calcoli!$C$7:$C$21,Calcoli!$A$7:$A$21,C104),INDEX($S$5:$S$1004,P104)))</f>
        <v/>
      </c>
      <c r="R104" t="str">
        <f>IF(N104="","",IF(P104=0,SUMIFS(Calcoli!$D$7:$D$21,Calcoli!$A$7:$A$21,C104),INDEX($T$5:$T$1004,P104)))</f>
        <v/>
      </c>
      <c r="S104" t="str">
        <f>IF(N104="","",IF(B104="Acquisto",Q104+N(D104),MAX(0,Q104-N(D104))))</f>
        <v/>
      </c>
      <c r="T104" t="str">
        <f>IF(N104="","",IF(B104="Acquisto",R104+J104+N(G104),IF(Q104&lt;=0,0,R104*(1-MIN(1,N(D104)/Q104)))))</f>
        <v/>
      </c>
      <c r="U104" t="str">
        <f>IF(B104&lt;&gt;"Vendita","",J104-N(G104)-IF(Q104&lt;=0,0,R104*MIN(1,N(D104)/Q104)))</f>
        <v/>
      </c>
      <c r="V104" t="str">
        <f>IF(B104&lt;&gt;"Dividendo","",IF(Calcoli!$B$251=1,J104,L104))</f>
        <v/>
      </c>
      <c r="W104" t="str">
        <f>IF(AND(V104&lt;&gt;"",ISNUMBER(A104)),A104,"")</f>
        <v/>
      </c>
    </row>
    <row r="105">
      <c r="A105" s="134" t="n"/>
      <c r="B105" s="116" t="n"/>
      <c r="C105" s="116" t="n"/>
      <c r="D105" s="121" t="n"/>
      <c r="E105" s="120" t="n"/>
      <c r="F105" s="120" t="n"/>
      <c r="G105" s="120" t="n"/>
      <c r="H105" s="120" t="n"/>
      <c r="I105" s="117" t="n"/>
      <c r="J105" s="123" t="str">
        <f>IF(B105="","",IF(F105&lt;&gt;"",N(F105),ROUND(N(D105)*N(E105),2)))</f>
        <v/>
      </c>
      <c r="K105" s="123" t="str">
        <f>IF(B105="","",IF(H105&lt;&gt;"",N(H105),IF(B105="Dividendo",ROUND(J105*IFERROR(INDEX(Calcoli!$V$7:$V$21,MATCH(C105,Calcoli!$A$7:$A$21,0)),0.26),2),IF(B105="Vendita",ROUND(MAX(0,U105)*IFERROR(INDEX(Calcoli!$V$7:$V$21,MATCH(C105,Calcoli!$A$7:$A$21,0)),0.26),2),0))))</f>
        <v/>
      </c>
      <c r="L105" s="135" t="str">
        <f>IF(B105="","",IF(B105="Acquisto",-(J105+N(G105)),J105-N(G105)-K105))</f>
        <v/>
      </c>
      <c r="M105" s="127" t="str">
        <f>IF(B105="","",IF(ISNA(MATCH(C105,ETF!$A$7:$A$21,0)),"ETF?",IF(NOT(ISNUMBER(A105)),"Data?",IF(AND(B105&lt;&gt;"Dividendo",N(D105)&lt;=0),"Quote?",IF(AND(B105="Vendita",N(D105)&gt;N(Q105)+0.000001),"Quote?",IF(J105&lt;=0,"Importo?","✓"))))))</f>
        <v/>
      </c>
      <c r="N105" t="str">
        <f>IF(OR(B105="Acquisto",B105="Vendita"),COUNTIFS($C$5:C105,C105,$B$5:B105,"Acquisto")+COUNTIFS($C$5:C105,C105,$B$5:B105,"Vendita"),"")</f>
        <v/>
      </c>
      <c r="O105" t="str">
        <f>IF(N105="","",C105&amp;"|"&amp;N105)</f>
        <v/>
      </c>
      <c r="P105" t="str">
        <f>IF(N105="","",IF(N105=1,0,MATCH(C105&amp;"|"&amp;(N105-1),$O$5:$O$1004,0)))</f>
        <v/>
      </c>
      <c r="Q105" t="str">
        <f>IF(N105="","",IF(P105=0,SUMIFS(Calcoli!$C$7:$C$21,Calcoli!$A$7:$A$21,C105),INDEX($S$5:$S$1004,P105)))</f>
        <v/>
      </c>
      <c r="R105" t="str">
        <f>IF(N105="","",IF(P105=0,SUMIFS(Calcoli!$D$7:$D$21,Calcoli!$A$7:$A$21,C105),INDEX($T$5:$T$1004,P105)))</f>
        <v/>
      </c>
      <c r="S105" t="str">
        <f>IF(N105="","",IF(B105="Acquisto",Q105+N(D105),MAX(0,Q105-N(D105))))</f>
        <v/>
      </c>
      <c r="T105" t="str">
        <f>IF(N105="","",IF(B105="Acquisto",R105+J105+N(G105),IF(Q105&lt;=0,0,R105*(1-MIN(1,N(D105)/Q105)))))</f>
        <v/>
      </c>
      <c r="U105" t="str">
        <f>IF(B105&lt;&gt;"Vendita","",J105-N(G105)-IF(Q105&lt;=0,0,R105*MIN(1,N(D105)/Q105)))</f>
        <v/>
      </c>
      <c r="V105" t="str">
        <f>IF(B105&lt;&gt;"Dividendo","",IF(Calcoli!$B$251=1,J105,L105))</f>
        <v/>
      </c>
      <c r="W105" t="str">
        <f>IF(AND(V105&lt;&gt;"",ISNUMBER(A105)),A105,"")</f>
        <v/>
      </c>
    </row>
    <row r="106">
      <c r="A106" s="134" t="n"/>
      <c r="B106" s="116" t="n"/>
      <c r="C106" s="116" t="n"/>
      <c r="D106" s="121" t="n"/>
      <c r="E106" s="120" t="n"/>
      <c r="F106" s="120" t="n"/>
      <c r="G106" s="120" t="n"/>
      <c r="H106" s="120" t="n"/>
      <c r="I106" s="117" t="n"/>
      <c r="J106" s="123" t="str">
        <f>IF(B106="","",IF(F106&lt;&gt;"",N(F106),ROUND(N(D106)*N(E106),2)))</f>
        <v/>
      </c>
      <c r="K106" s="123" t="str">
        <f>IF(B106="","",IF(H106&lt;&gt;"",N(H106),IF(B106="Dividendo",ROUND(J106*IFERROR(INDEX(Calcoli!$V$7:$V$21,MATCH(C106,Calcoli!$A$7:$A$21,0)),0.26),2),IF(B106="Vendita",ROUND(MAX(0,U106)*IFERROR(INDEX(Calcoli!$V$7:$V$21,MATCH(C106,Calcoli!$A$7:$A$21,0)),0.26),2),0))))</f>
        <v/>
      </c>
      <c r="L106" s="135" t="str">
        <f>IF(B106="","",IF(B106="Acquisto",-(J106+N(G106)),J106-N(G106)-K106))</f>
        <v/>
      </c>
      <c r="M106" s="127" t="str">
        <f>IF(B106="","",IF(ISNA(MATCH(C106,ETF!$A$7:$A$21,0)),"ETF?",IF(NOT(ISNUMBER(A106)),"Data?",IF(AND(B106&lt;&gt;"Dividendo",N(D106)&lt;=0),"Quote?",IF(AND(B106="Vendita",N(D106)&gt;N(Q106)+0.000001),"Quote?",IF(J106&lt;=0,"Importo?","✓"))))))</f>
        <v/>
      </c>
      <c r="N106" t="str">
        <f>IF(OR(B106="Acquisto",B106="Vendita"),COUNTIFS($C$5:C106,C106,$B$5:B106,"Acquisto")+COUNTIFS($C$5:C106,C106,$B$5:B106,"Vendita"),"")</f>
        <v/>
      </c>
      <c r="O106" t="str">
        <f>IF(N106="","",C106&amp;"|"&amp;N106)</f>
        <v/>
      </c>
      <c r="P106" t="str">
        <f>IF(N106="","",IF(N106=1,0,MATCH(C106&amp;"|"&amp;(N106-1),$O$5:$O$1004,0)))</f>
        <v/>
      </c>
      <c r="Q106" t="str">
        <f>IF(N106="","",IF(P106=0,SUMIFS(Calcoli!$C$7:$C$21,Calcoli!$A$7:$A$21,C106),INDEX($S$5:$S$1004,P106)))</f>
        <v/>
      </c>
      <c r="R106" t="str">
        <f>IF(N106="","",IF(P106=0,SUMIFS(Calcoli!$D$7:$D$21,Calcoli!$A$7:$A$21,C106),INDEX($T$5:$T$1004,P106)))</f>
        <v/>
      </c>
      <c r="S106" t="str">
        <f>IF(N106="","",IF(B106="Acquisto",Q106+N(D106),MAX(0,Q106-N(D106))))</f>
        <v/>
      </c>
      <c r="T106" t="str">
        <f>IF(N106="","",IF(B106="Acquisto",R106+J106+N(G106),IF(Q106&lt;=0,0,R106*(1-MIN(1,N(D106)/Q106)))))</f>
        <v/>
      </c>
      <c r="U106" t="str">
        <f>IF(B106&lt;&gt;"Vendita","",J106-N(G106)-IF(Q106&lt;=0,0,R106*MIN(1,N(D106)/Q106)))</f>
        <v/>
      </c>
      <c r="V106" t="str">
        <f>IF(B106&lt;&gt;"Dividendo","",IF(Calcoli!$B$251=1,J106,L106))</f>
        <v/>
      </c>
      <c r="W106" t="str">
        <f>IF(AND(V106&lt;&gt;"",ISNUMBER(A106)),A106,"")</f>
        <v/>
      </c>
    </row>
    <row r="107">
      <c r="A107" s="134" t="n"/>
      <c r="B107" s="116" t="n"/>
      <c r="C107" s="116" t="n"/>
      <c r="D107" s="121" t="n"/>
      <c r="E107" s="120" t="n"/>
      <c r="F107" s="120" t="n"/>
      <c r="G107" s="120" t="n"/>
      <c r="H107" s="120" t="n"/>
      <c r="I107" s="117" t="n"/>
      <c r="J107" s="123" t="str">
        <f>IF(B107="","",IF(F107&lt;&gt;"",N(F107),ROUND(N(D107)*N(E107),2)))</f>
        <v/>
      </c>
      <c r="K107" s="123" t="str">
        <f>IF(B107="","",IF(H107&lt;&gt;"",N(H107),IF(B107="Dividendo",ROUND(J107*IFERROR(INDEX(Calcoli!$V$7:$V$21,MATCH(C107,Calcoli!$A$7:$A$21,0)),0.26),2),IF(B107="Vendita",ROUND(MAX(0,U107)*IFERROR(INDEX(Calcoli!$V$7:$V$21,MATCH(C107,Calcoli!$A$7:$A$21,0)),0.26),2),0))))</f>
        <v/>
      </c>
      <c r="L107" s="135" t="str">
        <f>IF(B107="","",IF(B107="Acquisto",-(J107+N(G107)),J107-N(G107)-K107))</f>
        <v/>
      </c>
      <c r="M107" s="127" t="str">
        <f>IF(B107="","",IF(ISNA(MATCH(C107,ETF!$A$7:$A$21,0)),"ETF?",IF(NOT(ISNUMBER(A107)),"Data?",IF(AND(B107&lt;&gt;"Dividendo",N(D107)&lt;=0),"Quote?",IF(AND(B107="Vendita",N(D107)&gt;N(Q107)+0.000001),"Quote?",IF(J107&lt;=0,"Importo?","✓"))))))</f>
        <v/>
      </c>
      <c r="N107" t="str">
        <f>IF(OR(B107="Acquisto",B107="Vendita"),COUNTIFS($C$5:C107,C107,$B$5:B107,"Acquisto")+COUNTIFS($C$5:C107,C107,$B$5:B107,"Vendita"),"")</f>
        <v/>
      </c>
      <c r="O107" t="str">
        <f>IF(N107="","",C107&amp;"|"&amp;N107)</f>
        <v/>
      </c>
      <c r="P107" t="str">
        <f>IF(N107="","",IF(N107=1,0,MATCH(C107&amp;"|"&amp;(N107-1),$O$5:$O$1004,0)))</f>
        <v/>
      </c>
      <c r="Q107" t="str">
        <f>IF(N107="","",IF(P107=0,SUMIFS(Calcoli!$C$7:$C$21,Calcoli!$A$7:$A$21,C107),INDEX($S$5:$S$1004,P107)))</f>
        <v/>
      </c>
      <c r="R107" t="str">
        <f>IF(N107="","",IF(P107=0,SUMIFS(Calcoli!$D$7:$D$21,Calcoli!$A$7:$A$21,C107),INDEX($T$5:$T$1004,P107)))</f>
        <v/>
      </c>
      <c r="S107" t="str">
        <f>IF(N107="","",IF(B107="Acquisto",Q107+N(D107),MAX(0,Q107-N(D107))))</f>
        <v/>
      </c>
      <c r="T107" t="str">
        <f>IF(N107="","",IF(B107="Acquisto",R107+J107+N(G107),IF(Q107&lt;=0,0,R107*(1-MIN(1,N(D107)/Q107)))))</f>
        <v/>
      </c>
      <c r="U107" t="str">
        <f>IF(B107&lt;&gt;"Vendita","",J107-N(G107)-IF(Q107&lt;=0,0,R107*MIN(1,N(D107)/Q107)))</f>
        <v/>
      </c>
      <c r="V107" t="str">
        <f>IF(B107&lt;&gt;"Dividendo","",IF(Calcoli!$B$251=1,J107,L107))</f>
        <v/>
      </c>
      <c r="W107" t="str">
        <f>IF(AND(V107&lt;&gt;"",ISNUMBER(A107)),A107,"")</f>
        <v/>
      </c>
    </row>
    <row r="108">
      <c r="A108" s="134" t="n"/>
      <c r="B108" s="116" t="n"/>
      <c r="C108" s="116" t="n"/>
      <c r="D108" s="121" t="n"/>
      <c r="E108" s="120" t="n"/>
      <c r="F108" s="120" t="n"/>
      <c r="G108" s="120" t="n"/>
      <c r="H108" s="120" t="n"/>
      <c r="I108" s="117" t="n"/>
      <c r="J108" s="123" t="str">
        <f>IF(B108="","",IF(F108&lt;&gt;"",N(F108),ROUND(N(D108)*N(E108),2)))</f>
        <v/>
      </c>
      <c r="K108" s="123" t="str">
        <f>IF(B108="","",IF(H108&lt;&gt;"",N(H108),IF(B108="Dividendo",ROUND(J108*IFERROR(INDEX(Calcoli!$V$7:$V$21,MATCH(C108,Calcoli!$A$7:$A$21,0)),0.26),2),IF(B108="Vendita",ROUND(MAX(0,U108)*IFERROR(INDEX(Calcoli!$V$7:$V$21,MATCH(C108,Calcoli!$A$7:$A$21,0)),0.26),2),0))))</f>
        <v/>
      </c>
      <c r="L108" s="135" t="str">
        <f>IF(B108="","",IF(B108="Acquisto",-(J108+N(G108)),J108-N(G108)-K108))</f>
        <v/>
      </c>
      <c r="M108" s="127" t="str">
        <f>IF(B108="","",IF(ISNA(MATCH(C108,ETF!$A$7:$A$21,0)),"ETF?",IF(NOT(ISNUMBER(A108)),"Data?",IF(AND(B108&lt;&gt;"Dividendo",N(D108)&lt;=0),"Quote?",IF(AND(B108="Vendita",N(D108)&gt;N(Q108)+0.000001),"Quote?",IF(J108&lt;=0,"Importo?","✓"))))))</f>
        <v/>
      </c>
      <c r="N108" t="str">
        <f>IF(OR(B108="Acquisto",B108="Vendita"),COUNTIFS($C$5:C108,C108,$B$5:B108,"Acquisto")+COUNTIFS($C$5:C108,C108,$B$5:B108,"Vendita"),"")</f>
        <v/>
      </c>
      <c r="O108" t="str">
        <f>IF(N108="","",C108&amp;"|"&amp;N108)</f>
        <v/>
      </c>
      <c r="P108" t="str">
        <f>IF(N108="","",IF(N108=1,0,MATCH(C108&amp;"|"&amp;(N108-1),$O$5:$O$1004,0)))</f>
        <v/>
      </c>
      <c r="Q108" t="str">
        <f>IF(N108="","",IF(P108=0,SUMIFS(Calcoli!$C$7:$C$21,Calcoli!$A$7:$A$21,C108),INDEX($S$5:$S$1004,P108)))</f>
        <v/>
      </c>
      <c r="R108" t="str">
        <f>IF(N108="","",IF(P108=0,SUMIFS(Calcoli!$D$7:$D$21,Calcoli!$A$7:$A$21,C108),INDEX($T$5:$T$1004,P108)))</f>
        <v/>
      </c>
      <c r="S108" t="str">
        <f>IF(N108="","",IF(B108="Acquisto",Q108+N(D108),MAX(0,Q108-N(D108))))</f>
        <v/>
      </c>
      <c r="T108" t="str">
        <f>IF(N108="","",IF(B108="Acquisto",R108+J108+N(G108),IF(Q108&lt;=0,0,R108*(1-MIN(1,N(D108)/Q108)))))</f>
        <v/>
      </c>
      <c r="U108" t="str">
        <f>IF(B108&lt;&gt;"Vendita","",J108-N(G108)-IF(Q108&lt;=0,0,R108*MIN(1,N(D108)/Q108)))</f>
        <v/>
      </c>
      <c r="V108" t="str">
        <f>IF(B108&lt;&gt;"Dividendo","",IF(Calcoli!$B$251=1,J108,L108))</f>
        <v/>
      </c>
      <c r="W108" t="str">
        <f>IF(AND(V108&lt;&gt;"",ISNUMBER(A108)),A108,"")</f>
        <v/>
      </c>
    </row>
    <row r="109">
      <c r="A109" s="134" t="n"/>
      <c r="B109" s="116" t="n"/>
      <c r="C109" s="116" t="n"/>
      <c r="D109" s="121" t="n"/>
      <c r="E109" s="120" t="n"/>
      <c r="F109" s="120" t="n"/>
      <c r="G109" s="120" t="n"/>
      <c r="H109" s="120" t="n"/>
      <c r="I109" s="117" t="n"/>
      <c r="J109" s="123" t="str">
        <f>IF(B109="","",IF(F109&lt;&gt;"",N(F109),ROUND(N(D109)*N(E109),2)))</f>
        <v/>
      </c>
      <c r="K109" s="123" t="str">
        <f>IF(B109="","",IF(H109&lt;&gt;"",N(H109),IF(B109="Dividendo",ROUND(J109*IFERROR(INDEX(Calcoli!$V$7:$V$21,MATCH(C109,Calcoli!$A$7:$A$21,0)),0.26),2),IF(B109="Vendita",ROUND(MAX(0,U109)*IFERROR(INDEX(Calcoli!$V$7:$V$21,MATCH(C109,Calcoli!$A$7:$A$21,0)),0.26),2),0))))</f>
        <v/>
      </c>
      <c r="L109" s="135" t="str">
        <f>IF(B109="","",IF(B109="Acquisto",-(J109+N(G109)),J109-N(G109)-K109))</f>
        <v/>
      </c>
      <c r="M109" s="127" t="str">
        <f>IF(B109="","",IF(ISNA(MATCH(C109,ETF!$A$7:$A$21,0)),"ETF?",IF(NOT(ISNUMBER(A109)),"Data?",IF(AND(B109&lt;&gt;"Dividendo",N(D109)&lt;=0),"Quote?",IF(AND(B109="Vendita",N(D109)&gt;N(Q109)+0.000001),"Quote?",IF(J109&lt;=0,"Importo?","✓"))))))</f>
        <v/>
      </c>
      <c r="N109" t="str">
        <f>IF(OR(B109="Acquisto",B109="Vendita"),COUNTIFS($C$5:C109,C109,$B$5:B109,"Acquisto")+COUNTIFS($C$5:C109,C109,$B$5:B109,"Vendita"),"")</f>
        <v/>
      </c>
      <c r="O109" t="str">
        <f>IF(N109="","",C109&amp;"|"&amp;N109)</f>
        <v/>
      </c>
      <c r="P109" t="str">
        <f>IF(N109="","",IF(N109=1,0,MATCH(C109&amp;"|"&amp;(N109-1),$O$5:$O$1004,0)))</f>
        <v/>
      </c>
      <c r="Q109" t="str">
        <f>IF(N109="","",IF(P109=0,SUMIFS(Calcoli!$C$7:$C$21,Calcoli!$A$7:$A$21,C109),INDEX($S$5:$S$1004,P109)))</f>
        <v/>
      </c>
      <c r="R109" t="str">
        <f>IF(N109="","",IF(P109=0,SUMIFS(Calcoli!$D$7:$D$21,Calcoli!$A$7:$A$21,C109),INDEX($T$5:$T$1004,P109)))</f>
        <v/>
      </c>
      <c r="S109" t="str">
        <f>IF(N109="","",IF(B109="Acquisto",Q109+N(D109),MAX(0,Q109-N(D109))))</f>
        <v/>
      </c>
      <c r="T109" t="str">
        <f>IF(N109="","",IF(B109="Acquisto",R109+J109+N(G109),IF(Q109&lt;=0,0,R109*(1-MIN(1,N(D109)/Q109)))))</f>
        <v/>
      </c>
      <c r="U109" t="str">
        <f>IF(B109&lt;&gt;"Vendita","",J109-N(G109)-IF(Q109&lt;=0,0,R109*MIN(1,N(D109)/Q109)))</f>
        <v/>
      </c>
      <c r="V109" t="str">
        <f>IF(B109&lt;&gt;"Dividendo","",IF(Calcoli!$B$251=1,J109,L109))</f>
        <v/>
      </c>
      <c r="W109" t="str">
        <f>IF(AND(V109&lt;&gt;"",ISNUMBER(A109)),A109,"")</f>
        <v/>
      </c>
    </row>
    <row r="110">
      <c r="A110" s="134" t="n"/>
      <c r="B110" s="116" t="n"/>
      <c r="C110" s="116" t="n"/>
      <c r="D110" s="121" t="n"/>
      <c r="E110" s="120" t="n"/>
      <c r="F110" s="120" t="n"/>
      <c r="G110" s="120" t="n"/>
      <c r="H110" s="120" t="n"/>
      <c r="I110" s="117" t="n"/>
      <c r="J110" s="123" t="str">
        <f>IF(B110="","",IF(F110&lt;&gt;"",N(F110),ROUND(N(D110)*N(E110),2)))</f>
        <v/>
      </c>
      <c r="K110" s="123" t="str">
        <f>IF(B110="","",IF(H110&lt;&gt;"",N(H110),IF(B110="Dividendo",ROUND(J110*IFERROR(INDEX(Calcoli!$V$7:$V$21,MATCH(C110,Calcoli!$A$7:$A$21,0)),0.26),2),IF(B110="Vendita",ROUND(MAX(0,U110)*IFERROR(INDEX(Calcoli!$V$7:$V$21,MATCH(C110,Calcoli!$A$7:$A$21,0)),0.26),2),0))))</f>
        <v/>
      </c>
      <c r="L110" s="135" t="str">
        <f>IF(B110="","",IF(B110="Acquisto",-(J110+N(G110)),J110-N(G110)-K110))</f>
        <v/>
      </c>
      <c r="M110" s="127" t="str">
        <f>IF(B110="","",IF(ISNA(MATCH(C110,ETF!$A$7:$A$21,0)),"ETF?",IF(NOT(ISNUMBER(A110)),"Data?",IF(AND(B110&lt;&gt;"Dividendo",N(D110)&lt;=0),"Quote?",IF(AND(B110="Vendita",N(D110)&gt;N(Q110)+0.000001),"Quote?",IF(J110&lt;=0,"Importo?","✓"))))))</f>
        <v/>
      </c>
      <c r="N110" t="str">
        <f>IF(OR(B110="Acquisto",B110="Vendita"),COUNTIFS($C$5:C110,C110,$B$5:B110,"Acquisto")+COUNTIFS($C$5:C110,C110,$B$5:B110,"Vendita"),"")</f>
        <v/>
      </c>
      <c r="O110" t="str">
        <f>IF(N110="","",C110&amp;"|"&amp;N110)</f>
        <v/>
      </c>
      <c r="P110" t="str">
        <f>IF(N110="","",IF(N110=1,0,MATCH(C110&amp;"|"&amp;(N110-1),$O$5:$O$1004,0)))</f>
        <v/>
      </c>
      <c r="Q110" t="str">
        <f>IF(N110="","",IF(P110=0,SUMIFS(Calcoli!$C$7:$C$21,Calcoli!$A$7:$A$21,C110),INDEX($S$5:$S$1004,P110)))</f>
        <v/>
      </c>
      <c r="R110" t="str">
        <f>IF(N110="","",IF(P110=0,SUMIFS(Calcoli!$D$7:$D$21,Calcoli!$A$7:$A$21,C110),INDEX($T$5:$T$1004,P110)))</f>
        <v/>
      </c>
      <c r="S110" t="str">
        <f>IF(N110="","",IF(B110="Acquisto",Q110+N(D110),MAX(0,Q110-N(D110))))</f>
        <v/>
      </c>
      <c r="T110" t="str">
        <f>IF(N110="","",IF(B110="Acquisto",R110+J110+N(G110),IF(Q110&lt;=0,0,R110*(1-MIN(1,N(D110)/Q110)))))</f>
        <v/>
      </c>
      <c r="U110" t="str">
        <f>IF(B110&lt;&gt;"Vendita","",J110-N(G110)-IF(Q110&lt;=0,0,R110*MIN(1,N(D110)/Q110)))</f>
        <v/>
      </c>
      <c r="V110" t="str">
        <f>IF(B110&lt;&gt;"Dividendo","",IF(Calcoli!$B$251=1,J110,L110))</f>
        <v/>
      </c>
      <c r="W110" t="str">
        <f>IF(AND(V110&lt;&gt;"",ISNUMBER(A110)),A110,"")</f>
        <v/>
      </c>
    </row>
    <row r="111">
      <c r="A111" s="134" t="n"/>
      <c r="B111" s="116" t="n"/>
      <c r="C111" s="116" t="n"/>
      <c r="D111" s="121" t="n"/>
      <c r="E111" s="120" t="n"/>
      <c r="F111" s="120" t="n"/>
      <c r="G111" s="120" t="n"/>
      <c r="H111" s="120" t="n"/>
      <c r="I111" s="117" t="n"/>
      <c r="J111" s="123" t="str">
        <f>IF(B111="","",IF(F111&lt;&gt;"",N(F111),ROUND(N(D111)*N(E111),2)))</f>
        <v/>
      </c>
      <c r="K111" s="123" t="str">
        <f>IF(B111="","",IF(H111&lt;&gt;"",N(H111),IF(B111="Dividendo",ROUND(J111*IFERROR(INDEX(Calcoli!$V$7:$V$21,MATCH(C111,Calcoli!$A$7:$A$21,0)),0.26),2),IF(B111="Vendita",ROUND(MAX(0,U111)*IFERROR(INDEX(Calcoli!$V$7:$V$21,MATCH(C111,Calcoli!$A$7:$A$21,0)),0.26),2),0))))</f>
        <v/>
      </c>
      <c r="L111" s="135" t="str">
        <f>IF(B111="","",IF(B111="Acquisto",-(J111+N(G111)),J111-N(G111)-K111))</f>
        <v/>
      </c>
      <c r="M111" s="127" t="str">
        <f>IF(B111="","",IF(ISNA(MATCH(C111,ETF!$A$7:$A$21,0)),"ETF?",IF(NOT(ISNUMBER(A111)),"Data?",IF(AND(B111&lt;&gt;"Dividendo",N(D111)&lt;=0),"Quote?",IF(AND(B111="Vendita",N(D111)&gt;N(Q111)+0.000001),"Quote?",IF(J111&lt;=0,"Importo?","✓"))))))</f>
        <v/>
      </c>
      <c r="N111" t="str">
        <f>IF(OR(B111="Acquisto",B111="Vendita"),COUNTIFS($C$5:C111,C111,$B$5:B111,"Acquisto")+COUNTIFS($C$5:C111,C111,$B$5:B111,"Vendita"),"")</f>
        <v/>
      </c>
      <c r="O111" t="str">
        <f>IF(N111="","",C111&amp;"|"&amp;N111)</f>
        <v/>
      </c>
      <c r="P111" t="str">
        <f>IF(N111="","",IF(N111=1,0,MATCH(C111&amp;"|"&amp;(N111-1),$O$5:$O$1004,0)))</f>
        <v/>
      </c>
      <c r="Q111" t="str">
        <f>IF(N111="","",IF(P111=0,SUMIFS(Calcoli!$C$7:$C$21,Calcoli!$A$7:$A$21,C111),INDEX($S$5:$S$1004,P111)))</f>
        <v/>
      </c>
      <c r="R111" t="str">
        <f>IF(N111="","",IF(P111=0,SUMIFS(Calcoli!$D$7:$D$21,Calcoli!$A$7:$A$21,C111),INDEX($T$5:$T$1004,P111)))</f>
        <v/>
      </c>
      <c r="S111" t="str">
        <f>IF(N111="","",IF(B111="Acquisto",Q111+N(D111),MAX(0,Q111-N(D111))))</f>
        <v/>
      </c>
      <c r="T111" t="str">
        <f>IF(N111="","",IF(B111="Acquisto",R111+J111+N(G111),IF(Q111&lt;=0,0,R111*(1-MIN(1,N(D111)/Q111)))))</f>
        <v/>
      </c>
      <c r="U111" t="str">
        <f>IF(B111&lt;&gt;"Vendita","",J111-N(G111)-IF(Q111&lt;=0,0,R111*MIN(1,N(D111)/Q111)))</f>
        <v/>
      </c>
      <c r="V111" t="str">
        <f>IF(B111&lt;&gt;"Dividendo","",IF(Calcoli!$B$251=1,J111,L111))</f>
        <v/>
      </c>
      <c r="W111" t="str">
        <f>IF(AND(V111&lt;&gt;"",ISNUMBER(A111)),A111,"")</f>
        <v/>
      </c>
    </row>
    <row r="112">
      <c r="A112" s="134" t="n"/>
      <c r="B112" s="116" t="n"/>
      <c r="C112" s="116" t="n"/>
      <c r="D112" s="121" t="n"/>
      <c r="E112" s="120" t="n"/>
      <c r="F112" s="120" t="n"/>
      <c r="G112" s="120" t="n"/>
      <c r="H112" s="120" t="n"/>
      <c r="I112" s="117" t="n"/>
      <c r="J112" s="123" t="str">
        <f>IF(B112="","",IF(F112&lt;&gt;"",N(F112),ROUND(N(D112)*N(E112),2)))</f>
        <v/>
      </c>
      <c r="K112" s="123" t="str">
        <f>IF(B112="","",IF(H112&lt;&gt;"",N(H112),IF(B112="Dividendo",ROUND(J112*IFERROR(INDEX(Calcoli!$V$7:$V$21,MATCH(C112,Calcoli!$A$7:$A$21,0)),0.26),2),IF(B112="Vendita",ROUND(MAX(0,U112)*IFERROR(INDEX(Calcoli!$V$7:$V$21,MATCH(C112,Calcoli!$A$7:$A$21,0)),0.26),2),0))))</f>
        <v/>
      </c>
      <c r="L112" s="135" t="str">
        <f>IF(B112="","",IF(B112="Acquisto",-(J112+N(G112)),J112-N(G112)-K112))</f>
        <v/>
      </c>
      <c r="M112" s="127" t="str">
        <f>IF(B112="","",IF(ISNA(MATCH(C112,ETF!$A$7:$A$21,0)),"ETF?",IF(NOT(ISNUMBER(A112)),"Data?",IF(AND(B112&lt;&gt;"Dividendo",N(D112)&lt;=0),"Quote?",IF(AND(B112="Vendita",N(D112)&gt;N(Q112)+0.000001),"Quote?",IF(J112&lt;=0,"Importo?","✓"))))))</f>
        <v/>
      </c>
      <c r="N112" t="str">
        <f>IF(OR(B112="Acquisto",B112="Vendita"),COUNTIFS($C$5:C112,C112,$B$5:B112,"Acquisto")+COUNTIFS($C$5:C112,C112,$B$5:B112,"Vendita"),"")</f>
        <v/>
      </c>
      <c r="O112" t="str">
        <f>IF(N112="","",C112&amp;"|"&amp;N112)</f>
        <v/>
      </c>
      <c r="P112" t="str">
        <f>IF(N112="","",IF(N112=1,0,MATCH(C112&amp;"|"&amp;(N112-1),$O$5:$O$1004,0)))</f>
        <v/>
      </c>
      <c r="Q112" t="str">
        <f>IF(N112="","",IF(P112=0,SUMIFS(Calcoli!$C$7:$C$21,Calcoli!$A$7:$A$21,C112),INDEX($S$5:$S$1004,P112)))</f>
        <v/>
      </c>
      <c r="R112" t="str">
        <f>IF(N112="","",IF(P112=0,SUMIFS(Calcoli!$D$7:$D$21,Calcoli!$A$7:$A$21,C112),INDEX($T$5:$T$1004,P112)))</f>
        <v/>
      </c>
      <c r="S112" t="str">
        <f>IF(N112="","",IF(B112="Acquisto",Q112+N(D112),MAX(0,Q112-N(D112))))</f>
        <v/>
      </c>
      <c r="T112" t="str">
        <f>IF(N112="","",IF(B112="Acquisto",R112+J112+N(G112),IF(Q112&lt;=0,0,R112*(1-MIN(1,N(D112)/Q112)))))</f>
        <v/>
      </c>
      <c r="U112" t="str">
        <f>IF(B112&lt;&gt;"Vendita","",J112-N(G112)-IF(Q112&lt;=0,0,R112*MIN(1,N(D112)/Q112)))</f>
        <v/>
      </c>
      <c r="V112" t="str">
        <f>IF(B112&lt;&gt;"Dividendo","",IF(Calcoli!$B$251=1,J112,L112))</f>
        <v/>
      </c>
      <c r="W112" t="str">
        <f>IF(AND(V112&lt;&gt;"",ISNUMBER(A112)),A112,"")</f>
        <v/>
      </c>
    </row>
    <row r="113">
      <c r="A113" s="134" t="n"/>
      <c r="B113" s="116" t="n"/>
      <c r="C113" s="116" t="n"/>
      <c r="D113" s="121" t="n"/>
      <c r="E113" s="120" t="n"/>
      <c r="F113" s="120" t="n"/>
      <c r="G113" s="120" t="n"/>
      <c r="H113" s="120" t="n"/>
      <c r="I113" s="117" t="n"/>
      <c r="J113" s="123" t="str">
        <f>IF(B113="","",IF(F113&lt;&gt;"",N(F113),ROUND(N(D113)*N(E113),2)))</f>
        <v/>
      </c>
      <c r="K113" s="123" t="str">
        <f>IF(B113="","",IF(H113&lt;&gt;"",N(H113),IF(B113="Dividendo",ROUND(J113*IFERROR(INDEX(Calcoli!$V$7:$V$21,MATCH(C113,Calcoli!$A$7:$A$21,0)),0.26),2),IF(B113="Vendita",ROUND(MAX(0,U113)*IFERROR(INDEX(Calcoli!$V$7:$V$21,MATCH(C113,Calcoli!$A$7:$A$21,0)),0.26),2),0))))</f>
        <v/>
      </c>
      <c r="L113" s="135" t="str">
        <f>IF(B113="","",IF(B113="Acquisto",-(J113+N(G113)),J113-N(G113)-K113))</f>
        <v/>
      </c>
      <c r="M113" s="127" t="str">
        <f>IF(B113="","",IF(ISNA(MATCH(C113,ETF!$A$7:$A$21,0)),"ETF?",IF(NOT(ISNUMBER(A113)),"Data?",IF(AND(B113&lt;&gt;"Dividendo",N(D113)&lt;=0),"Quote?",IF(AND(B113="Vendita",N(D113)&gt;N(Q113)+0.000001),"Quote?",IF(J113&lt;=0,"Importo?","✓"))))))</f>
        <v/>
      </c>
      <c r="N113" t="str">
        <f>IF(OR(B113="Acquisto",B113="Vendita"),COUNTIFS($C$5:C113,C113,$B$5:B113,"Acquisto")+COUNTIFS($C$5:C113,C113,$B$5:B113,"Vendita"),"")</f>
        <v/>
      </c>
      <c r="O113" t="str">
        <f>IF(N113="","",C113&amp;"|"&amp;N113)</f>
        <v/>
      </c>
      <c r="P113" t="str">
        <f>IF(N113="","",IF(N113=1,0,MATCH(C113&amp;"|"&amp;(N113-1),$O$5:$O$1004,0)))</f>
        <v/>
      </c>
      <c r="Q113" t="str">
        <f>IF(N113="","",IF(P113=0,SUMIFS(Calcoli!$C$7:$C$21,Calcoli!$A$7:$A$21,C113),INDEX($S$5:$S$1004,P113)))</f>
        <v/>
      </c>
      <c r="R113" t="str">
        <f>IF(N113="","",IF(P113=0,SUMIFS(Calcoli!$D$7:$D$21,Calcoli!$A$7:$A$21,C113),INDEX($T$5:$T$1004,P113)))</f>
        <v/>
      </c>
      <c r="S113" t="str">
        <f>IF(N113="","",IF(B113="Acquisto",Q113+N(D113),MAX(0,Q113-N(D113))))</f>
        <v/>
      </c>
      <c r="T113" t="str">
        <f>IF(N113="","",IF(B113="Acquisto",R113+J113+N(G113),IF(Q113&lt;=0,0,R113*(1-MIN(1,N(D113)/Q113)))))</f>
        <v/>
      </c>
      <c r="U113" t="str">
        <f>IF(B113&lt;&gt;"Vendita","",J113-N(G113)-IF(Q113&lt;=0,0,R113*MIN(1,N(D113)/Q113)))</f>
        <v/>
      </c>
      <c r="V113" t="str">
        <f>IF(B113&lt;&gt;"Dividendo","",IF(Calcoli!$B$251=1,J113,L113))</f>
        <v/>
      </c>
      <c r="W113" t="str">
        <f>IF(AND(V113&lt;&gt;"",ISNUMBER(A113)),A113,"")</f>
        <v/>
      </c>
    </row>
    <row r="114">
      <c r="A114" s="134" t="n"/>
      <c r="B114" s="116" t="n"/>
      <c r="C114" s="116" t="n"/>
      <c r="D114" s="121" t="n"/>
      <c r="E114" s="120" t="n"/>
      <c r="F114" s="120" t="n"/>
      <c r="G114" s="120" t="n"/>
      <c r="H114" s="120" t="n"/>
      <c r="I114" s="117" t="n"/>
      <c r="J114" s="123" t="str">
        <f>IF(B114="","",IF(F114&lt;&gt;"",N(F114),ROUND(N(D114)*N(E114),2)))</f>
        <v/>
      </c>
      <c r="K114" s="123" t="str">
        <f>IF(B114="","",IF(H114&lt;&gt;"",N(H114),IF(B114="Dividendo",ROUND(J114*IFERROR(INDEX(Calcoli!$V$7:$V$21,MATCH(C114,Calcoli!$A$7:$A$21,0)),0.26),2),IF(B114="Vendita",ROUND(MAX(0,U114)*IFERROR(INDEX(Calcoli!$V$7:$V$21,MATCH(C114,Calcoli!$A$7:$A$21,0)),0.26),2),0))))</f>
        <v/>
      </c>
      <c r="L114" s="135" t="str">
        <f>IF(B114="","",IF(B114="Acquisto",-(J114+N(G114)),J114-N(G114)-K114))</f>
        <v/>
      </c>
      <c r="M114" s="127" t="str">
        <f>IF(B114="","",IF(ISNA(MATCH(C114,ETF!$A$7:$A$21,0)),"ETF?",IF(NOT(ISNUMBER(A114)),"Data?",IF(AND(B114&lt;&gt;"Dividendo",N(D114)&lt;=0),"Quote?",IF(AND(B114="Vendita",N(D114)&gt;N(Q114)+0.000001),"Quote?",IF(J114&lt;=0,"Importo?","✓"))))))</f>
        <v/>
      </c>
      <c r="N114" t="str">
        <f>IF(OR(B114="Acquisto",B114="Vendita"),COUNTIFS($C$5:C114,C114,$B$5:B114,"Acquisto")+COUNTIFS($C$5:C114,C114,$B$5:B114,"Vendita"),"")</f>
        <v/>
      </c>
      <c r="O114" t="str">
        <f>IF(N114="","",C114&amp;"|"&amp;N114)</f>
        <v/>
      </c>
      <c r="P114" t="str">
        <f>IF(N114="","",IF(N114=1,0,MATCH(C114&amp;"|"&amp;(N114-1),$O$5:$O$1004,0)))</f>
        <v/>
      </c>
      <c r="Q114" t="str">
        <f>IF(N114="","",IF(P114=0,SUMIFS(Calcoli!$C$7:$C$21,Calcoli!$A$7:$A$21,C114),INDEX($S$5:$S$1004,P114)))</f>
        <v/>
      </c>
      <c r="R114" t="str">
        <f>IF(N114="","",IF(P114=0,SUMIFS(Calcoli!$D$7:$D$21,Calcoli!$A$7:$A$21,C114),INDEX($T$5:$T$1004,P114)))</f>
        <v/>
      </c>
      <c r="S114" t="str">
        <f>IF(N114="","",IF(B114="Acquisto",Q114+N(D114),MAX(0,Q114-N(D114))))</f>
        <v/>
      </c>
      <c r="T114" t="str">
        <f>IF(N114="","",IF(B114="Acquisto",R114+J114+N(G114),IF(Q114&lt;=0,0,R114*(1-MIN(1,N(D114)/Q114)))))</f>
        <v/>
      </c>
      <c r="U114" t="str">
        <f>IF(B114&lt;&gt;"Vendita","",J114-N(G114)-IF(Q114&lt;=0,0,R114*MIN(1,N(D114)/Q114)))</f>
        <v/>
      </c>
      <c r="V114" t="str">
        <f>IF(B114&lt;&gt;"Dividendo","",IF(Calcoli!$B$251=1,J114,L114))</f>
        <v/>
      </c>
      <c r="W114" t="str">
        <f>IF(AND(V114&lt;&gt;"",ISNUMBER(A114)),A114,"")</f>
        <v/>
      </c>
    </row>
    <row r="115">
      <c r="A115" s="134" t="n"/>
      <c r="B115" s="116" t="n"/>
      <c r="C115" s="116" t="n"/>
      <c r="D115" s="121" t="n"/>
      <c r="E115" s="120" t="n"/>
      <c r="F115" s="120" t="n"/>
      <c r="G115" s="120" t="n"/>
      <c r="H115" s="120" t="n"/>
      <c r="I115" s="117" t="n"/>
      <c r="J115" s="123" t="str">
        <f>IF(B115="","",IF(F115&lt;&gt;"",N(F115),ROUND(N(D115)*N(E115),2)))</f>
        <v/>
      </c>
      <c r="K115" s="123" t="str">
        <f>IF(B115="","",IF(H115&lt;&gt;"",N(H115),IF(B115="Dividendo",ROUND(J115*IFERROR(INDEX(Calcoli!$V$7:$V$21,MATCH(C115,Calcoli!$A$7:$A$21,0)),0.26),2),IF(B115="Vendita",ROUND(MAX(0,U115)*IFERROR(INDEX(Calcoli!$V$7:$V$21,MATCH(C115,Calcoli!$A$7:$A$21,0)),0.26),2),0))))</f>
        <v/>
      </c>
      <c r="L115" s="135" t="str">
        <f>IF(B115="","",IF(B115="Acquisto",-(J115+N(G115)),J115-N(G115)-K115))</f>
        <v/>
      </c>
      <c r="M115" s="127" t="str">
        <f>IF(B115="","",IF(ISNA(MATCH(C115,ETF!$A$7:$A$21,0)),"ETF?",IF(NOT(ISNUMBER(A115)),"Data?",IF(AND(B115&lt;&gt;"Dividendo",N(D115)&lt;=0),"Quote?",IF(AND(B115="Vendita",N(D115)&gt;N(Q115)+0.000001),"Quote?",IF(J115&lt;=0,"Importo?","✓"))))))</f>
        <v/>
      </c>
      <c r="N115" t="str">
        <f>IF(OR(B115="Acquisto",B115="Vendita"),COUNTIFS($C$5:C115,C115,$B$5:B115,"Acquisto")+COUNTIFS($C$5:C115,C115,$B$5:B115,"Vendita"),"")</f>
        <v/>
      </c>
      <c r="O115" t="str">
        <f>IF(N115="","",C115&amp;"|"&amp;N115)</f>
        <v/>
      </c>
      <c r="P115" t="str">
        <f>IF(N115="","",IF(N115=1,0,MATCH(C115&amp;"|"&amp;(N115-1),$O$5:$O$1004,0)))</f>
        <v/>
      </c>
      <c r="Q115" t="str">
        <f>IF(N115="","",IF(P115=0,SUMIFS(Calcoli!$C$7:$C$21,Calcoli!$A$7:$A$21,C115),INDEX($S$5:$S$1004,P115)))</f>
        <v/>
      </c>
      <c r="R115" t="str">
        <f>IF(N115="","",IF(P115=0,SUMIFS(Calcoli!$D$7:$D$21,Calcoli!$A$7:$A$21,C115),INDEX($T$5:$T$1004,P115)))</f>
        <v/>
      </c>
      <c r="S115" t="str">
        <f>IF(N115="","",IF(B115="Acquisto",Q115+N(D115),MAX(0,Q115-N(D115))))</f>
        <v/>
      </c>
      <c r="T115" t="str">
        <f>IF(N115="","",IF(B115="Acquisto",R115+J115+N(G115),IF(Q115&lt;=0,0,R115*(1-MIN(1,N(D115)/Q115)))))</f>
        <v/>
      </c>
      <c r="U115" t="str">
        <f>IF(B115&lt;&gt;"Vendita","",J115-N(G115)-IF(Q115&lt;=0,0,R115*MIN(1,N(D115)/Q115)))</f>
        <v/>
      </c>
      <c r="V115" t="str">
        <f>IF(B115&lt;&gt;"Dividendo","",IF(Calcoli!$B$251=1,J115,L115))</f>
        <v/>
      </c>
      <c r="W115" t="str">
        <f>IF(AND(V115&lt;&gt;"",ISNUMBER(A115)),A115,"")</f>
        <v/>
      </c>
    </row>
    <row r="116">
      <c r="A116" s="134" t="n"/>
      <c r="B116" s="116" t="n"/>
      <c r="C116" s="116" t="n"/>
      <c r="D116" s="121" t="n"/>
      <c r="E116" s="120" t="n"/>
      <c r="F116" s="120" t="n"/>
      <c r="G116" s="120" t="n"/>
      <c r="H116" s="120" t="n"/>
      <c r="I116" s="117" t="n"/>
      <c r="J116" s="123" t="str">
        <f>IF(B116="","",IF(F116&lt;&gt;"",N(F116),ROUND(N(D116)*N(E116),2)))</f>
        <v/>
      </c>
      <c r="K116" s="123" t="str">
        <f>IF(B116="","",IF(H116&lt;&gt;"",N(H116),IF(B116="Dividendo",ROUND(J116*IFERROR(INDEX(Calcoli!$V$7:$V$21,MATCH(C116,Calcoli!$A$7:$A$21,0)),0.26),2),IF(B116="Vendita",ROUND(MAX(0,U116)*IFERROR(INDEX(Calcoli!$V$7:$V$21,MATCH(C116,Calcoli!$A$7:$A$21,0)),0.26),2),0))))</f>
        <v/>
      </c>
      <c r="L116" s="135" t="str">
        <f>IF(B116="","",IF(B116="Acquisto",-(J116+N(G116)),J116-N(G116)-K116))</f>
        <v/>
      </c>
      <c r="M116" s="127" t="str">
        <f>IF(B116="","",IF(ISNA(MATCH(C116,ETF!$A$7:$A$21,0)),"ETF?",IF(NOT(ISNUMBER(A116)),"Data?",IF(AND(B116&lt;&gt;"Dividendo",N(D116)&lt;=0),"Quote?",IF(AND(B116="Vendita",N(D116)&gt;N(Q116)+0.000001),"Quote?",IF(J116&lt;=0,"Importo?","✓"))))))</f>
        <v/>
      </c>
      <c r="N116" t="str">
        <f>IF(OR(B116="Acquisto",B116="Vendita"),COUNTIFS($C$5:C116,C116,$B$5:B116,"Acquisto")+COUNTIFS($C$5:C116,C116,$B$5:B116,"Vendita"),"")</f>
        <v/>
      </c>
      <c r="O116" t="str">
        <f>IF(N116="","",C116&amp;"|"&amp;N116)</f>
        <v/>
      </c>
      <c r="P116" t="str">
        <f>IF(N116="","",IF(N116=1,0,MATCH(C116&amp;"|"&amp;(N116-1),$O$5:$O$1004,0)))</f>
        <v/>
      </c>
      <c r="Q116" t="str">
        <f>IF(N116="","",IF(P116=0,SUMIFS(Calcoli!$C$7:$C$21,Calcoli!$A$7:$A$21,C116),INDEX($S$5:$S$1004,P116)))</f>
        <v/>
      </c>
      <c r="R116" t="str">
        <f>IF(N116="","",IF(P116=0,SUMIFS(Calcoli!$D$7:$D$21,Calcoli!$A$7:$A$21,C116),INDEX($T$5:$T$1004,P116)))</f>
        <v/>
      </c>
      <c r="S116" t="str">
        <f>IF(N116="","",IF(B116="Acquisto",Q116+N(D116),MAX(0,Q116-N(D116))))</f>
        <v/>
      </c>
      <c r="T116" t="str">
        <f>IF(N116="","",IF(B116="Acquisto",R116+J116+N(G116),IF(Q116&lt;=0,0,R116*(1-MIN(1,N(D116)/Q116)))))</f>
        <v/>
      </c>
      <c r="U116" t="str">
        <f>IF(B116&lt;&gt;"Vendita","",J116-N(G116)-IF(Q116&lt;=0,0,R116*MIN(1,N(D116)/Q116)))</f>
        <v/>
      </c>
      <c r="V116" t="str">
        <f>IF(B116&lt;&gt;"Dividendo","",IF(Calcoli!$B$251=1,J116,L116))</f>
        <v/>
      </c>
      <c r="W116" t="str">
        <f>IF(AND(V116&lt;&gt;"",ISNUMBER(A116)),A116,"")</f>
        <v/>
      </c>
    </row>
    <row r="117">
      <c r="A117" s="134" t="n"/>
      <c r="B117" s="116" t="n"/>
      <c r="C117" s="116" t="n"/>
      <c r="D117" s="121" t="n"/>
      <c r="E117" s="120" t="n"/>
      <c r="F117" s="120" t="n"/>
      <c r="G117" s="120" t="n"/>
      <c r="H117" s="120" t="n"/>
      <c r="I117" s="117" t="n"/>
      <c r="J117" s="123" t="str">
        <f>IF(B117="","",IF(F117&lt;&gt;"",N(F117),ROUND(N(D117)*N(E117),2)))</f>
        <v/>
      </c>
      <c r="K117" s="123" t="str">
        <f>IF(B117="","",IF(H117&lt;&gt;"",N(H117),IF(B117="Dividendo",ROUND(J117*IFERROR(INDEX(Calcoli!$V$7:$V$21,MATCH(C117,Calcoli!$A$7:$A$21,0)),0.26),2),IF(B117="Vendita",ROUND(MAX(0,U117)*IFERROR(INDEX(Calcoli!$V$7:$V$21,MATCH(C117,Calcoli!$A$7:$A$21,0)),0.26),2),0))))</f>
        <v/>
      </c>
      <c r="L117" s="135" t="str">
        <f>IF(B117="","",IF(B117="Acquisto",-(J117+N(G117)),J117-N(G117)-K117))</f>
        <v/>
      </c>
      <c r="M117" s="127" t="str">
        <f>IF(B117="","",IF(ISNA(MATCH(C117,ETF!$A$7:$A$21,0)),"ETF?",IF(NOT(ISNUMBER(A117)),"Data?",IF(AND(B117&lt;&gt;"Dividendo",N(D117)&lt;=0),"Quote?",IF(AND(B117="Vendita",N(D117)&gt;N(Q117)+0.000001),"Quote?",IF(J117&lt;=0,"Importo?","✓"))))))</f>
        <v/>
      </c>
      <c r="N117" t="str">
        <f>IF(OR(B117="Acquisto",B117="Vendita"),COUNTIFS($C$5:C117,C117,$B$5:B117,"Acquisto")+COUNTIFS($C$5:C117,C117,$B$5:B117,"Vendita"),"")</f>
        <v/>
      </c>
      <c r="O117" t="str">
        <f>IF(N117="","",C117&amp;"|"&amp;N117)</f>
        <v/>
      </c>
      <c r="P117" t="str">
        <f>IF(N117="","",IF(N117=1,0,MATCH(C117&amp;"|"&amp;(N117-1),$O$5:$O$1004,0)))</f>
        <v/>
      </c>
      <c r="Q117" t="str">
        <f>IF(N117="","",IF(P117=0,SUMIFS(Calcoli!$C$7:$C$21,Calcoli!$A$7:$A$21,C117),INDEX($S$5:$S$1004,P117)))</f>
        <v/>
      </c>
      <c r="R117" t="str">
        <f>IF(N117="","",IF(P117=0,SUMIFS(Calcoli!$D$7:$D$21,Calcoli!$A$7:$A$21,C117),INDEX($T$5:$T$1004,P117)))</f>
        <v/>
      </c>
      <c r="S117" t="str">
        <f>IF(N117="","",IF(B117="Acquisto",Q117+N(D117),MAX(0,Q117-N(D117))))</f>
        <v/>
      </c>
      <c r="T117" t="str">
        <f>IF(N117="","",IF(B117="Acquisto",R117+J117+N(G117),IF(Q117&lt;=0,0,R117*(1-MIN(1,N(D117)/Q117)))))</f>
        <v/>
      </c>
      <c r="U117" t="str">
        <f>IF(B117&lt;&gt;"Vendita","",J117-N(G117)-IF(Q117&lt;=0,0,R117*MIN(1,N(D117)/Q117)))</f>
        <v/>
      </c>
      <c r="V117" t="str">
        <f>IF(B117&lt;&gt;"Dividendo","",IF(Calcoli!$B$251=1,J117,L117))</f>
        <v/>
      </c>
      <c r="W117" t="str">
        <f>IF(AND(V117&lt;&gt;"",ISNUMBER(A117)),A117,"")</f>
        <v/>
      </c>
    </row>
    <row r="118">
      <c r="A118" s="134" t="n"/>
      <c r="B118" s="116" t="n"/>
      <c r="C118" s="116" t="n"/>
      <c r="D118" s="121" t="n"/>
      <c r="E118" s="120" t="n"/>
      <c r="F118" s="120" t="n"/>
      <c r="G118" s="120" t="n"/>
      <c r="H118" s="120" t="n"/>
      <c r="I118" s="117" t="n"/>
      <c r="J118" s="123" t="str">
        <f>IF(B118="","",IF(F118&lt;&gt;"",N(F118),ROUND(N(D118)*N(E118),2)))</f>
        <v/>
      </c>
      <c r="K118" s="123" t="str">
        <f>IF(B118="","",IF(H118&lt;&gt;"",N(H118),IF(B118="Dividendo",ROUND(J118*IFERROR(INDEX(Calcoli!$V$7:$V$21,MATCH(C118,Calcoli!$A$7:$A$21,0)),0.26),2),IF(B118="Vendita",ROUND(MAX(0,U118)*IFERROR(INDEX(Calcoli!$V$7:$V$21,MATCH(C118,Calcoli!$A$7:$A$21,0)),0.26),2),0))))</f>
        <v/>
      </c>
      <c r="L118" s="135" t="str">
        <f>IF(B118="","",IF(B118="Acquisto",-(J118+N(G118)),J118-N(G118)-K118))</f>
        <v/>
      </c>
      <c r="M118" s="127" t="str">
        <f>IF(B118="","",IF(ISNA(MATCH(C118,ETF!$A$7:$A$21,0)),"ETF?",IF(NOT(ISNUMBER(A118)),"Data?",IF(AND(B118&lt;&gt;"Dividendo",N(D118)&lt;=0),"Quote?",IF(AND(B118="Vendita",N(D118)&gt;N(Q118)+0.000001),"Quote?",IF(J118&lt;=0,"Importo?","✓"))))))</f>
        <v/>
      </c>
      <c r="N118" t="str">
        <f>IF(OR(B118="Acquisto",B118="Vendita"),COUNTIFS($C$5:C118,C118,$B$5:B118,"Acquisto")+COUNTIFS($C$5:C118,C118,$B$5:B118,"Vendita"),"")</f>
        <v/>
      </c>
      <c r="O118" t="str">
        <f>IF(N118="","",C118&amp;"|"&amp;N118)</f>
        <v/>
      </c>
      <c r="P118" t="str">
        <f>IF(N118="","",IF(N118=1,0,MATCH(C118&amp;"|"&amp;(N118-1),$O$5:$O$1004,0)))</f>
        <v/>
      </c>
      <c r="Q118" t="str">
        <f>IF(N118="","",IF(P118=0,SUMIFS(Calcoli!$C$7:$C$21,Calcoli!$A$7:$A$21,C118),INDEX($S$5:$S$1004,P118)))</f>
        <v/>
      </c>
      <c r="R118" t="str">
        <f>IF(N118="","",IF(P118=0,SUMIFS(Calcoli!$D$7:$D$21,Calcoli!$A$7:$A$21,C118),INDEX($T$5:$T$1004,P118)))</f>
        <v/>
      </c>
      <c r="S118" t="str">
        <f>IF(N118="","",IF(B118="Acquisto",Q118+N(D118),MAX(0,Q118-N(D118))))</f>
        <v/>
      </c>
      <c r="T118" t="str">
        <f>IF(N118="","",IF(B118="Acquisto",R118+J118+N(G118),IF(Q118&lt;=0,0,R118*(1-MIN(1,N(D118)/Q118)))))</f>
        <v/>
      </c>
      <c r="U118" t="str">
        <f>IF(B118&lt;&gt;"Vendita","",J118-N(G118)-IF(Q118&lt;=0,0,R118*MIN(1,N(D118)/Q118)))</f>
        <v/>
      </c>
      <c r="V118" t="str">
        <f>IF(B118&lt;&gt;"Dividendo","",IF(Calcoli!$B$251=1,J118,L118))</f>
        <v/>
      </c>
      <c r="W118" t="str">
        <f>IF(AND(V118&lt;&gt;"",ISNUMBER(A118)),A118,"")</f>
        <v/>
      </c>
    </row>
    <row r="119">
      <c r="A119" s="134" t="n"/>
      <c r="B119" s="116" t="n"/>
      <c r="C119" s="116" t="n"/>
      <c r="D119" s="121" t="n"/>
      <c r="E119" s="120" t="n"/>
      <c r="F119" s="120" t="n"/>
      <c r="G119" s="120" t="n"/>
      <c r="H119" s="120" t="n"/>
      <c r="I119" s="117" t="n"/>
      <c r="J119" s="123" t="str">
        <f>IF(B119="","",IF(F119&lt;&gt;"",N(F119),ROUND(N(D119)*N(E119),2)))</f>
        <v/>
      </c>
      <c r="K119" s="123" t="str">
        <f>IF(B119="","",IF(H119&lt;&gt;"",N(H119),IF(B119="Dividendo",ROUND(J119*IFERROR(INDEX(Calcoli!$V$7:$V$21,MATCH(C119,Calcoli!$A$7:$A$21,0)),0.26),2),IF(B119="Vendita",ROUND(MAX(0,U119)*IFERROR(INDEX(Calcoli!$V$7:$V$21,MATCH(C119,Calcoli!$A$7:$A$21,0)),0.26),2),0))))</f>
        <v/>
      </c>
      <c r="L119" s="135" t="str">
        <f>IF(B119="","",IF(B119="Acquisto",-(J119+N(G119)),J119-N(G119)-K119))</f>
        <v/>
      </c>
      <c r="M119" s="127" t="str">
        <f>IF(B119="","",IF(ISNA(MATCH(C119,ETF!$A$7:$A$21,0)),"ETF?",IF(NOT(ISNUMBER(A119)),"Data?",IF(AND(B119&lt;&gt;"Dividendo",N(D119)&lt;=0),"Quote?",IF(AND(B119="Vendita",N(D119)&gt;N(Q119)+0.000001),"Quote?",IF(J119&lt;=0,"Importo?","✓"))))))</f>
        <v/>
      </c>
      <c r="N119" t="str">
        <f>IF(OR(B119="Acquisto",B119="Vendita"),COUNTIFS($C$5:C119,C119,$B$5:B119,"Acquisto")+COUNTIFS($C$5:C119,C119,$B$5:B119,"Vendita"),"")</f>
        <v/>
      </c>
      <c r="O119" t="str">
        <f>IF(N119="","",C119&amp;"|"&amp;N119)</f>
        <v/>
      </c>
      <c r="P119" t="str">
        <f>IF(N119="","",IF(N119=1,0,MATCH(C119&amp;"|"&amp;(N119-1),$O$5:$O$1004,0)))</f>
        <v/>
      </c>
      <c r="Q119" t="str">
        <f>IF(N119="","",IF(P119=0,SUMIFS(Calcoli!$C$7:$C$21,Calcoli!$A$7:$A$21,C119),INDEX($S$5:$S$1004,P119)))</f>
        <v/>
      </c>
      <c r="R119" t="str">
        <f>IF(N119="","",IF(P119=0,SUMIFS(Calcoli!$D$7:$D$21,Calcoli!$A$7:$A$21,C119),INDEX($T$5:$T$1004,P119)))</f>
        <v/>
      </c>
      <c r="S119" t="str">
        <f>IF(N119="","",IF(B119="Acquisto",Q119+N(D119),MAX(0,Q119-N(D119))))</f>
        <v/>
      </c>
      <c r="T119" t="str">
        <f>IF(N119="","",IF(B119="Acquisto",R119+J119+N(G119),IF(Q119&lt;=0,0,R119*(1-MIN(1,N(D119)/Q119)))))</f>
        <v/>
      </c>
      <c r="U119" t="str">
        <f>IF(B119&lt;&gt;"Vendita","",J119-N(G119)-IF(Q119&lt;=0,0,R119*MIN(1,N(D119)/Q119)))</f>
        <v/>
      </c>
      <c r="V119" t="str">
        <f>IF(B119&lt;&gt;"Dividendo","",IF(Calcoli!$B$251=1,J119,L119))</f>
        <v/>
      </c>
      <c r="W119" t="str">
        <f>IF(AND(V119&lt;&gt;"",ISNUMBER(A119)),A119,"")</f>
        <v/>
      </c>
    </row>
    <row r="120">
      <c r="A120" s="134" t="n"/>
      <c r="B120" s="116" t="n"/>
      <c r="C120" s="116" t="n"/>
      <c r="D120" s="121" t="n"/>
      <c r="E120" s="120" t="n"/>
      <c r="F120" s="120" t="n"/>
      <c r="G120" s="120" t="n"/>
      <c r="H120" s="120" t="n"/>
      <c r="I120" s="117" t="n"/>
      <c r="J120" s="123" t="str">
        <f>IF(B120="","",IF(F120&lt;&gt;"",N(F120),ROUND(N(D120)*N(E120),2)))</f>
        <v/>
      </c>
      <c r="K120" s="123" t="str">
        <f>IF(B120="","",IF(H120&lt;&gt;"",N(H120),IF(B120="Dividendo",ROUND(J120*IFERROR(INDEX(Calcoli!$V$7:$V$21,MATCH(C120,Calcoli!$A$7:$A$21,0)),0.26),2),IF(B120="Vendita",ROUND(MAX(0,U120)*IFERROR(INDEX(Calcoli!$V$7:$V$21,MATCH(C120,Calcoli!$A$7:$A$21,0)),0.26),2),0))))</f>
        <v/>
      </c>
      <c r="L120" s="135" t="str">
        <f>IF(B120="","",IF(B120="Acquisto",-(J120+N(G120)),J120-N(G120)-K120))</f>
        <v/>
      </c>
      <c r="M120" s="127" t="str">
        <f>IF(B120="","",IF(ISNA(MATCH(C120,ETF!$A$7:$A$21,0)),"ETF?",IF(NOT(ISNUMBER(A120)),"Data?",IF(AND(B120&lt;&gt;"Dividendo",N(D120)&lt;=0),"Quote?",IF(AND(B120="Vendita",N(D120)&gt;N(Q120)+0.000001),"Quote?",IF(J120&lt;=0,"Importo?","✓"))))))</f>
        <v/>
      </c>
      <c r="N120" t="str">
        <f>IF(OR(B120="Acquisto",B120="Vendita"),COUNTIFS($C$5:C120,C120,$B$5:B120,"Acquisto")+COUNTIFS($C$5:C120,C120,$B$5:B120,"Vendita"),"")</f>
        <v/>
      </c>
      <c r="O120" t="str">
        <f>IF(N120="","",C120&amp;"|"&amp;N120)</f>
        <v/>
      </c>
      <c r="P120" t="str">
        <f>IF(N120="","",IF(N120=1,0,MATCH(C120&amp;"|"&amp;(N120-1),$O$5:$O$1004,0)))</f>
        <v/>
      </c>
      <c r="Q120" t="str">
        <f>IF(N120="","",IF(P120=0,SUMIFS(Calcoli!$C$7:$C$21,Calcoli!$A$7:$A$21,C120),INDEX($S$5:$S$1004,P120)))</f>
        <v/>
      </c>
      <c r="R120" t="str">
        <f>IF(N120="","",IF(P120=0,SUMIFS(Calcoli!$D$7:$D$21,Calcoli!$A$7:$A$21,C120),INDEX($T$5:$T$1004,P120)))</f>
        <v/>
      </c>
      <c r="S120" t="str">
        <f>IF(N120="","",IF(B120="Acquisto",Q120+N(D120),MAX(0,Q120-N(D120))))</f>
        <v/>
      </c>
      <c r="T120" t="str">
        <f>IF(N120="","",IF(B120="Acquisto",R120+J120+N(G120),IF(Q120&lt;=0,0,R120*(1-MIN(1,N(D120)/Q120)))))</f>
        <v/>
      </c>
      <c r="U120" t="str">
        <f>IF(B120&lt;&gt;"Vendita","",J120-N(G120)-IF(Q120&lt;=0,0,R120*MIN(1,N(D120)/Q120)))</f>
        <v/>
      </c>
      <c r="V120" t="str">
        <f>IF(B120&lt;&gt;"Dividendo","",IF(Calcoli!$B$251=1,J120,L120))</f>
        <v/>
      </c>
      <c r="W120" t="str">
        <f>IF(AND(V120&lt;&gt;"",ISNUMBER(A120)),A120,"")</f>
        <v/>
      </c>
    </row>
    <row r="121">
      <c r="A121" s="134" t="n"/>
      <c r="B121" s="116" t="n"/>
      <c r="C121" s="116" t="n"/>
      <c r="D121" s="121" t="n"/>
      <c r="E121" s="120" t="n"/>
      <c r="F121" s="120" t="n"/>
      <c r="G121" s="120" t="n"/>
      <c r="H121" s="120" t="n"/>
      <c r="I121" s="117" t="n"/>
      <c r="J121" s="123" t="str">
        <f>IF(B121="","",IF(F121&lt;&gt;"",N(F121),ROUND(N(D121)*N(E121),2)))</f>
        <v/>
      </c>
      <c r="K121" s="123" t="str">
        <f>IF(B121="","",IF(H121&lt;&gt;"",N(H121),IF(B121="Dividendo",ROUND(J121*IFERROR(INDEX(Calcoli!$V$7:$V$21,MATCH(C121,Calcoli!$A$7:$A$21,0)),0.26),2),IF(B121="Vendita",ROUND(MAX(0,U121)*IFERROR(INDEX(Calcoli!$V$7:$V$21,MATCH(C121,Calcoli!$A$7:$A$21,0)),0.26),2),0))))</f>
        <v/>
      </c>
      <c r="L121" s="135" t="str">
        <f>IF(B121="","",IF(B121="Acquisto",-(J121+N(G121)),J121-N(G121)-K121))</f>
        <v/>
      </c>
      <c r="M121" s="127" t="str">
        <f>IF(B121="","",IF(ISNA(MATCH(C121,ETF!$A$7:$A$21,0)),"ETF?",IF(NOT(ISNUMBER(A121)),"Data?",IF(AND(B121&lt;&gt;"Dividendo",N(D121)&lt;=0),"Quote?",IF(AND(B121="Vendita",N(D121)&gt;N(Q121)+0.000001),"Quote?",IF(J121&lt;=0,"Importo?","✓"))))))</f>
        <v/>
      </c>
      <c r="N121" t="str">
        <f>IF(OR(B121="Acquisto",B121="Vendita"),COUNTIFS($C$5:C121,C121,$B$5:B121,"Acquisto")+COUNTIFS($C$5:C121,C121,$B$5:B121,"Vendita"),"")</f>
        <v/>
      </c>
      <c r="O121" t="str">
        <f>IF(N121="","",C121&amp;"|"&amp;N121)</f>
        <v/>
      </c>
      <c r="P121" t="str">
        <f>IF(N121="","",IF(N121=1,0,MATCH(C121&amp;"|"&amp;(N121-1),$O$5:$O$1004,0)))</f>
        <v/>
      </c>
      <c r="Q121" t="str">
        <f>IF(N121="","",IF(P121=0,SUMIFS(Calcoli!$C$7:$C$21,Calcoli!$A$7:$A$21,C121),INDEX($S$5:$S$1004,P121)))</f>
        <v/>
      </c>
      <c r="R121" t="str">
        <f>IF(N121="","",IF(P121=0,SUMIFS(Calcoli!$D$7:$D$21,Calcoli!$A$7:$A$21,C121),INDEX($T$5:$T$1004,P121)))</f>
        <v/>
      </c>
      <c r="S121" t="str">
        <f>IF(N121="","",IF(B121="Acquisto",Q121+N(D121),MAX(0,Q121-N(D121))))</f>
        <v/>
      </c>
      <c r="T121" t="str">
        <f>IF(N121="","",IF(B121="Acquisto",R121+J121+N(G121),IF(Q121&lt;=0,0,R121*(1-MIN(1,N(D121)/Q121)))))</f>
        <v/>
      </c>
      <c r="U121" t="str">
        <f>IF(B121&lt;&gt;"Vendita","",J121-N(G121)-IF(Q121&lt;=0,0,R121*MIN(1,N(D121)/Q121)))</f>
        <v/>
      </c>
      <c r="V121" t="str">
        <f>IF(B121&lt;&gt;"Dividendo","",IF(Calcoli!$B$251=1,J121,L121))</f>
        <v/>
      </c>
      <c r="W121" t="str">
        <f>IF(AND(V121&lt;&gt;"",ISNUMBER(A121)),A121,"")</f>
        <v/>
      </c>
    </row>
    <row r="122">
      <c r="A122" s="134" t="n"/>
      <c r="B122" s="116" t="n"/>
      <c r="C122" s="116" t="n"/>
      <c r="D122" s="121" t="n"/>
      <c r="E122" s="120" t="n"/>
      <c r="F122" s="120" t="n"/>
      <c r="G122" s="120" t="n"/>
      <c r="H122" s="120" t="n"/>
      <c r="I122" s="117" t="n"/>
      <c r="J122" s="123" t="str">
        <f>IF(B122="","",IF(F122&lt;&gt;"",N(F122),ROUND(N(D122)*N(E122),2)))</f>
        <v/>
      </c>
      <c r="K122" s="123" t="str">
        <f>IF(B122="","",IF(H122&lt;&gt;"",N(H122),IF(B122="Dividendo",ROUND(J122*IFERROR(INDEX(Calcoli!$V$7:$V$21,MATCH(C122,Calcoli!$A$7:$A$21,0)),0.26),2),IF(B122="Vendita",ROUND(MAX(0,U122)*IFERROR(INDEX(Calcoli!$V$7:$V$21,MATCH(C122,Calcoli!$A$7:$A$21,0)),0.26),2),0))))</f>
        <v/>
      </c>
      <c r="L122" s="135" t="str">
        <f>IF(B122="","",IF(B122="Acquisto",-(J122+N(G122)),J122-N(G122)-K122))</f>
        <v/>
      </c>
      <c r="M122" s="127" t="str">
        <f>IF(B122="","",IF(ISNA(MATCH(C122,ETF!$A$7:$A$21,0)),"ETF?",IF(NOT(ISNUMBER(A122)),"Data?",IF(AND(B122&lt;&gt;"Dividendo",N(D122)&lt;=0),"Quote?",IF(AND(B122="Vendita",N(D122)&gt;N(Q122)+0.000001),"Quote?",IF(J122&lt;=0,"Importo?","✓"))))))</f>
        <v/>
      </c>
      <c r="N122" t="str">
        <f>IF(OR(B122="Acquisto",B122="Vendita"),COUNTIFS($C$5:C122,C122,$B$5:B122,"Acquisto")+COUNTIFS($C$5:C122,C122,$B$5:B122,"Vendita"),"")</f>
        <v/>
      </c>
      <c r="O122" t="str">
        <f>IF(N122="","",C122&amp;"|"&amp;N122)</f>
        <v/>
      </c>
      <c r="P122" t="str">
        <f>IF(N122="","",IF(N122=1,0,MATCH(C122&amp;"|"&amp;(N122-1),$O$5:$O$1004,0)))</f>
        <v/>
      </c>
      <c r="Q122" t="str">
        <f>IF(N122="","",IF(P122=0,SUMIFS(Calcoli!$C$7:$C$21,Calcoli!$A$7:$A$21,C122),INDEX($S$5:$S$1004,P122)))</f>
        <v/>
      </c>
      <c r="R122" t="str">
        <f>IF(N122="","",IF(P122=0,SUMIFS(Calcoli!$D$7:$D$21,Calcoli!$A$7:$A$21,C122),INDEX($T$5:$T$1004,P122)))</f>
        <v/>
      </c>
      <c r="S122" t="str">
        <f>IF(N122="","",IF(B122="Acquisto",Q122+N(D122),MAX(0,Q122-N(D122))))</f>
        <v/>
      </c>
      <c r="T122" t="str">
        <f>IF(N122="","",IF(B122="Acquisto",R122+J122+N(G122),IF(Q122&lt;=0,0,R122*(1-MIN(1,N(D122)/Q122)))))</f>
        <v/>
      </c>
      <c r="U122" t="str">
        <f>IF(B122&lt;&gt;"Vendita","",J122-N(G122)-IF(Q122&lt;=0,0,R122*MIN(1,N(D122)/Q122)))</f>
        <v/>
      </c>
      <c r="V122" t="str">
        <f>IF(B122&lt;&gt;"Dividendo","",IF(Calcoli!$B$251=1,J122,L122))</f>
        <v/>
      </c>
      <c r="W122" t="str">
        <f>IF(AND(V122&lt;&gt;"",ISNUMBER(A122)),A122,"")</f>
        <v/>
      </c>
    </row>
    <row r="123">
      <c r="A123" s="134" t="n"/>
      <c r="B123" s="116" t="n"/>
      <c r="C123" s="116" t="n"/>
      <c r="D123" s="121" t="n"/>
      <c r="E123" s="120" t="n"/>
      <c r="F123" s="120" t="n"/>
      <c r="G123" s="120" t="n"/>
      <c r="H123" s="120" t="n"/>
      <c r="I123" s="117" t="n"/>
      <c r="J123" s="123" t="str">
        <f>IF(B123="","",IF(F123&lt;&gt;"",N(F123),ROUND(N(D123)*N(E123),2)))</f>
        <v/>
      </c>
      <c r="K123" s="123" t="str">
        <f>IF(B123="","",IF(H123&lt;&gt;"",N(H123),IF(B123="Dividendo",ROUND(J123*IFERROR(INDEX(Calcoli!$V$7:$V$21,MATCH(C123,Calcoli!$A$7:$A$21,0)),0.26),2),IF(B123="Vendita",ROUND(MAX(0,U123)*IFERROR(INDEX(Calcoli!$V$7:$V$21,MATCH(C123,Calcoli!$A$7:$A$21,0)),0.26),2),0))))</f>
        <v/>
      </c>
      <c r="L123" s="135" t="str">
        <f>IF(B123="","",IF(B123="Acquisto",-(J123+N(G123)),J123-N(G123)-K123))</f>
        <v/>
      </c>
      <c r="M123" s="127" t="str">
        <f>IF(B123="","",IF(ISNA(MATCH(C123,ETF!$A$7:$A$21,0)),"ETF?",IF(NOT(ISNUMBER(A123)),"Data?",IF(AND(B123&lt;&gt;"Dividendo",N(D123)&lt;=0),"Quote?",IF(AND(B123="Vendita",N(D123)&gt;N(Q123)+0.000001),"Quote?",IF(J123&lt;=0,"Importo?","✓"))))))</f>
        <v/>
      </c>
      <c r="N123" t="str">
        <f>IF(OR(B123="Acquisto",B123="Vendita"),COUNTIFS($C$5:C123,C123,$B$5:B123,"Acquisto")+COUNTIFS($C$5:C123,C123,$B$5:B123,"Vendita"),"")</f>
        <v/>
      </c>
      <c r="O123" t="str">
        <f>IF(N123="","",C123&amp;"|"&amp;N123)</f>
        <v/>
      </c>
      <c r="P123" t="str">
        <f>IF(N123="","",IF(N123=1,0,MATCH(C123&amp;"|"&amp;(N123-1),$O$5:$O$1004,0)))</f>
        <v/>
      </c>
      <c r="Q123" t="str">
        <f>IF(N123="","",IF(P123=0,SUMIFS(Calcoli!$C$7:$C$21,Calcoli!$A$7:$A$21,C123),INDEX($S$5:$S$1004,P123)))</f>
        <v/>
      </c>
      <c r="R123" t="str">
        <f>IF(N123="","",IF(P123=0,SUMIFS(Calcoli!$D$7:$D$21,Calcoli!$A$7:$A$21,C123),INDEX($T$5:$T$1004,P123)))</f>
        <v/>
      </c>
      <c r="S123" t="str">
        <f>IF(N123="","",IF(B123="Acquisto",Q123+N(D123),MAX(0,Q123-N(D123))))</f>
        <v/>
      </c>
      <c r="T123" t="str">
        <f>IF(N123="","",IF(B123="Acquisto",R123+J123+N(G123),IF(Q123&lt;=0,0,R123*(1-MIN(1,N(D123)/Q123)))))</f>
        <v/>
      </c>
      <c r="U123" t="str">
        <f>IF(B123&lt;&gt;"Vendita","",J123-N(G123)-IF(Q123&lt;=0,0,R123*MIN(1,N(D123)/Q123)))</f>
        <v/>
      </c>
      <c r="V123" t="str">
        <f>IF(B123&lt;&gt;"Dividendo","",IF(Calcoli!$B$251=1,J123,L123))</f>
        <v/>
      </c>
      <c r="W123" t="str">
        <f>IF(AND(V123&lt;&gt;"",ISNUMBER(A123)),A123,"")</f>
        <v/>
      </c>
    </row>
    <row r="124">
      <c r="A124" s="134" t="n"/>
      <c r="B124" s="116" t="n"/>
      <c r="C124" s="116" t="n"/>
      <c r="D124" s="121" t="n"/>
      <c r="E124" s="120" t="n"/>
      <c r="F124" s="120" t="n"/>
      <c r="G124" s="120" t="n"/>
      <c r="H124" s="120" t="n"/>
      <c r="I124" s="117" t="n"/>
      <c r="J124" s="123" t="str">
        <f>IF(B124="","",IF(F124&lt;&gt;"",N(F124),ROUND(N(D124)*N(E124),2)))</f>
        <v/>
      </c>
      <c r="K124" s="123" t="str">
        <f>IF(B124="","",IF(H124&lt;&gt;"",N(H124),IF(B124="Dividendo",ROUND(J124*IFERROR(INDEX(Calcoli!$V$7:$V$21,MATCH(C124,Calcoli!$A$7:$A$21,0)),0.26),2),IF(B124="Vendita",ROUND(MAX(0,U124)*IFERROR(INDEX(Calcoli!$V$7:$V$21,MATCH(C124,Calcoli!$A$7:$A$21,0)),0.26),2),0))))</f>
        <v/>
      </c>
      <c r="L124" s="135" t="str">
        <f>IF(B124="","",IF(B124="Acquisto",-(J124+N(G124)),J124-N(G124)-K124))</f>
        <v/>
      </c>
      <c r="M124" s="127" t="str">
        <f>IF(B124="","",IF(ISNA(MATCH(C124,ETF!$A$7:$A$21,0)),"ETF?",IF(NOT(ISNUMBER(A124)),"Data?",IF(AND(B124&lt;&gt;"Dividendo",N(D124)&lt;=0),"Quote?",IF(AND(B124="Vendita",N(D124)&gt;N(Q124)+0.000001),"Quote?",IF(J124&lt;=0,"Importo?","✓"))))))</f>
        <v/>
      </c>
      <c r="N124" t="str">
        <f>IF(OR(B124="Acquisto",B124="Vendita"),COUNTIFS($C$5:C124,C124,$B$5:B124,"Acquisto")+COUNTIFS($C$5:C124,C124,$B$5:B124,"Vendita"),"")</f>
        <v/>
      </c>
      <c r="O124" t="str">
        <f>IF(N124="","",C124&amp;"|"&amp;N124)</f>
        <v/>
      </c>
      <c r="P124" t="str">
        <f>IF(N124="","",IF(N124=1,0,MATCH(C124&amp;"|"&amp;(N124-1),$O$5:$O$1004,0)))</f>
        <v/>
      </c>
      <c r="Q124" t="str">
        <f>IF(N124="","",IF(P124=0,SUMIFS(Calcoli!$C$7:$C$21,Calcoli!$A$7:$A$21,C124),INDEX($S$5:$S$1004,P124)))</f>
        <v/>
      </c>
      <c r="R124" t="str">
        <f>IF(N124="","",IF(P124=0,SUMIFS(Calcoli!$D$7:$D$21,Calcoli!$A$7:$A$21,C124),INDEX($T$5:$T$1004,P124)))</f>
        <v/>
      </c>
      <c r="S124" t="str">
        <f>IF(N124="","",IF(B124="Acquisto",Q124+N(D124),MAX(0,Q124-N(D124))))</f>
        <v/>
      </c>
      <c r="T124" t="str">
        <f>IF(N124="","",IF(B124="Acquisto",R124+J124+N(G124),IF(Q124&lt;=0,0,R124*(1-MIN(1,N(D124)/Q124)))))</f>
        <v/>
      </c>
      <c r="U124" t="str">
        <f>IF(B124&lt;&gt;"Vendita","",J124-N(G124)-IF(Q124&lt;=0,0,R124*MIN(1,N(D124)/Q124)))</f>
        <v/>
      </c>
      <c r="V124" t="str">
        <f>IF(B124&lt;&gt;"Dividendo","",IF(Calcoli!$B$251=1,J124,L124))</f>
        <v/>
      </c>
      <c r="W124" t="str">
        <f>IF(AND(V124&lt;&gt;"",ISNUMBER(A124)),A124,"")</f>
        <v/>
      </c>
    </row>
    <row r="125">
      <c r="A125" s="134" t="n"/>
      <c r="B125" s="116" t="n"/>
      <c r="C125" s="116" t="n"/>
      <c r="D125" s="121" t="n"/>
      <c r="E125" s="120" t="n"/>
      <c r="F125" s="120" t="n"/>
      <c r="G125" s="120" t="n"/>
      <c r="H125" s="120" t="n"/>
      <c r="I125" s="117" t="n"/>
      <c r="J125" s="123" t="str">
        <f>IF(B125="","",IF(F125&lt;&gt;"",N(F125),ROUND(N(D125)*N(E125),2)))</f>
        <v/>
      </c>
      <c r="K125" s="123" t="str">
        <f>IF(B125="","",IF(H125&lt;&gt;"",N(H125),IF(B125="Dividendo",ROUND(J125*IFERROR(INDEX(Calcoli!$V$7:$V$21,MATCH(C125,Calcoli!$A$7:$A$21,0)),0.26),2),IF(B125="Vendita",ROUND(MAX(0,U125)*IFERROR(INDEX(Calcoli!$V$7:$V$21,MATCH(C125,Calcoli!$A$7:$A$21,0)),0.26),2),0))))</f>
        <v/>
      </c>
      <c r="L125" s="135" t="str">
        <f>IF(B125="","",IF(B125="Acquisto",-(J125+N(G125)),J125-N(G125)-K125))</f>
        <v/>
      </c>
      <c r="M125" s="127" t="str">
        <f>IF(B125="","",IF(ISNA(MATCH(C125,ETF!$A$7:$A$21,0)),"ETF?",IF(NOT(ISNUMBER(A125)),"Data?",IF(AND(B125&lt;&gt;"Dividendo",N(D125)&lt;=0),"Quote?",IF(AND(B125="Vendita",N(D125)&gt;N(Q125)+0.000001),"Quote?",IF(J125&lt;=0,"Importo?","✓"))))))</f>
        <v/>
      </c>
      <c r="N125" t="str">
        <f>IF(OR(B125="Acquisto",B125="Vendita"),COUNTIFS($C$5:C125,C125,$B$5:B125,"Acquisto")+COUNTIFS($C$5:C125,C125,$B$5:B125,"Vendita"),"")</f>
        <v/>
      </c>
      <c r="O125" t="str">
        <f>IF(N125="","",C125&amp;"|"&amp;N125)</f>
        <v/>
      </c>
      <c r="P125" t="str">
        <f>IF(N125="","",IF(N125=1,0,MATCH(C125&amp;"|"&amp;(N125-1),$O$5:$O$1004,0)))</f>
        <v/>
      </c>
      <c r="Q125" t="str">
        <f>IF(N125="","",IF(P125=0,SUMIFS(Calcoli!$C$7:$C$21,Calcoli!$A$7:$A$21,C125),INDEX($S$5:$S$1004,P125)))</f>
        <v/>
      </c>
      <c r="R125" t="str">
        <f>IF(N125="","",IF(P125=0,SUMIFS(Calcoli!$D$7:$D$21,Calcoli!$A$7:$A$21,C125),INDEX($T$5:$T$1004,P125)))</f>
        <v/>
      </c>
      <c r="S125" t="str">
        <f>IF(N125="","",IF(B125="Acquisto",Q125+N(D125),MAX(0,Q125-N(D125))))</f>
        <v/>
      </c>
      <c r="T125" t="str">
        <f>IF(N125="","",IF(B125="Acquisto",R125+J125+N(G125),IF(Q125&lt;=0,0,R125*(1-MIN(1,N(D125)/Q125)))))</f>
        <v/>
      </c>
      <c r="U125" t="str">
        <f>IF(B125&lt;&gt;"Vendita","",J125-N(G125)-IF(Q125&lt;=0,0,R125*MIN(1,N(D125)/Q125)))</f>
        <v/>
      </c>
      <c r="V125" t="str">
        <f>IF(B125&lt;&gt;"Dividendo","",IF(Calcoli!$B$251=1,J125,L125))</f>
        <v/>
      </c>
      <c r="W125" t="str">
        <f>IF(AND(V125&lt;&gt;"",ISNUMBER(A125)),A125,"")</f>
        <v/>
      </c>
    </row>
    <row r="126">
      <c r="A126" s="134" t="n"/>
      <c r="B126" s="116" t="n"/>
      <c r="C126" s="116" t="n"/>
      <c r="D126" s="121" t="n"/>
      <c r="E126" s="120" t="n"/>
      <c r="F126" s="120" t="n"/>
      <c r="G126" s="120" t="n"/>
      <c r="H126" s="120" t="n"/>
      <c r="I126" s="117" t="n"/>
      <c r="J126" s="123" t="str">
        <f>IF(B126="","",IF(F126&lt;&gt;"",N(F126),ROUND(N(D126)*N(E126),2)))</f>
        <v/>
      </c>
      <c r="K126" s="123" t="str">
        <f>IF(B126="","",IF(H126&lt;&gt;"",N(H126),IF(B126="Dividendo",ROUND(J126*IFERROR(INDEX(Calcoli!$V$7:$V$21,MATCH(C126,Calcoli!$A$7:$A$21,0)),0.26),2),IF(B126="Vendita",ROUND(MAX(0,U126)*IFERROR(INDEX(Calcoli!$V$7:$V$21,MATCH(C126,Calcoli!$A$7:$A$21,0)),0.26),2),0))))</f>
        <v/>
      </c>
      <c r="L126" s="135" t="str">
        <f>IF(B126="","",IF(B126="Acquisto",-(J126+N(G126)),J126-N(G126)-K126))</f>
        <v/>
      </c>
      <c r="M126" s="127" t="str">
        <f>IF(B126="","",IF(ISNA(MATCH(C126,ETF!$A$7:$A$21,0)),"ETF?",IF(NOT(ISNUMBER(A126)),"Data?",IF(AND(B126&lt;&gt;"Dividendo",N(D126)&lt;=0),"Quote?",IF(AND(B126="Vendita",N(D126)&gt;N(Q126)+0.000001),"Quote?",IF(J126&lt;=0,"Importo?","✓"))))))</f>
        <v/>
      </c>
      <c r="N126" t="str">
        <f>IF(OR(B126="Acquisto",B126="Vendita"),COUNTIFS($C$5:C126,C126,$B$5:B126,"Acquisto")+COUNTIFS($C$5:C126,C126,$B$5:B126,"Vendita"),"")</f>
        <v/>
      </c>
      <c r="O126" t="str">
        <f>IF(N126="","",C126&amp;"|"&amp;N126)</f>
        <v/>
      </c>
      <c r="P126" t="str">
        <f>IF(N126="","",IF(N126=1,0,MATCH(C126&amp;"|"&amp;(N126-1),$O$5:$O$1004,0)))</f>
        <v/>
      </c>
      <c r="Q126" t="str">
        <f>IF(N126="","",IF(P126=0,SUMIFS(Calcoli!$C$7:$C$21,Calcoli!$A$7:$A$21,C126),INDEX($S$5:$S$1004,P126)))</f>
        <v/>
      </c>
      <c r="R126" t="str">
        <f>IF(N126="","",IF(P126=0,SUMIFS(Calcoli!$D$7:$D$21,Calcoli!$A$7:$A$21,C126),INDEX($T$5:$T$1004,P126)))</f>
        <v/>
      </c>
      <c r="S126" t="str">
        <f>IF(N126="","",IF(B126="Acquisto",Q126+N(D126),MAX(0,Q126-N(D126))))</f>
        <v/>
      </c>
      <c r="T126" t="str">
        <f>IF(N126="","",IF(B126="Acquisto",R126+J126+N(G126),IF(Q126&lt;=0,0,R126*(1-MIN(1,N(D126)/Q126)))))</f>
        <v/>
      </c>
      <c r="U126" t="str">
        <f>IF(B126&lt;&gt;"Vendita","",J126-N(G126)-IF(Q126&lt;=0,0,R126*MIN(1,N(D126)/Q126)))</f>
        <v/>
      </c>
      <c r="V126" t="str">
        <f>IF(B126&lt;&gt;"Dividendo","",IF(Calcoli!$B$251=1,J126,L126))</f>
        <v/>
      </c>
      <c r="W126" t="str">
        <f>IF(AND(V126&lt;&gt;"",ISNUMBER(A126)),A126,"")</f>
        <v/>
      </c>
    </row>
    <row r="127">
      <c r="A127" s="134" t="n"/>
      <c r="B127" s="116" t="n"/>
      <c r="C127" s="116" t="n"/>
      <c r="D127" s="121" t="n"/>
      <c r="E127" s="120" t="n"/>
      <c r="F127" s="120" t="n"/>
      <c r="G127" s="120" t="n"/>
      <c r="H127" s="120" t="n"/>
      <c r="I127" s="117" t="n"/>
      <c r="J127" s="123" t="str">
        <f>IF(B127="","",IF(F127&lt;&gt;"",N(F127),ROUND(N(D127)*N(E127),2)))</f>
        <v/>
      </c>
      <c r="K127" s="123" t="str">
        <f>IF(B127="","",IF(H127&lt;&gt;"",N(H127),IF(B127="Dividendo",ROUND(J127*IFERROR(INDEX(Calcoli!$V$7:$V$21,MATCH(C127,Calcoli!$A$7:$A$21,0)),0.26),2),IF(B127="Vendita",ROUND(MAX(0,U127)*IFERROR(INDEX(Calcoli!$V$7:$V$21,MATCH(C127,Calcoli!$A$7:$A$21,0)),0.26),2),0))))</f>
        <v/>
      </c>
      <c r="L127" s="135" t="str">
        <f>IF(B127="","",IF(B127="Acquisto",-(J127+N(G127)),J127-N(G127)-K127))</f>
        <v/>
      </c>
      <c r="M127" s="127" t="str">
        <f>IF(B127="","",IF(ISNA(MATCH(C127,ETF!$A$7:$A$21,0)),"ETF?",IF(NOT(ISNUMBER(A127)),"Data?",IF(AND(B127&lt;&gt;"Dividendo",N(D127)&lt;=0),"Quote?",IF(AND(B127="Vendita",N(D127)&gt;N(Q127)+0.000001),"Quote?",IF(J127&lt;=0,"Importo?","✓"))))))</f>
        <v/>
      </c>
      <c r="N127" t="str">
        <f>IF(OR(B127="Acquisto",B127="Vendita"),COUNTIFS($C$5:C127,C127,$B$5:B127,"Acquisto")+COUNTIFS($C$5:C127,C127,$B$5:B127,"Vendita"),"")</f>
        <v/>
      </c>
      <c r="O127" t="str">
        <f>IF(N127="","",C127&amp;"|"&amp;N127)</f>
        <v/>
      </c>
      <c r="P127" t="str">
        <f>IF(N127="","",IF(N127=1,0,MATCH(C127&amp;"|"&amp;(N127-1),$O$5:$O$1004,0)))</f>
        <v/>
      </c>
      <c r="Q127" t="str">
        <f>IF(N127="","",IF(P127=0,SUMIFS(Calcoli!$C$7:$C$21,Calcoli!$A$7:$A$21,C127),INDEX($S$5:$S$1004,P127)))</f>
        <v/>
      </c>
      <c r="R127" t="str">
        <f>IF(N127="","",IF(P127=0,SUMIFS(Calcoli!$D$7:$D$21,Calcoli!$A$7:$A$21,C127),INDEX($T$5:$T$1004,P127)))</f>
        <v/>
      </c>
      <c r="S127" t="str">
        <f>IF(N127="","",IF(B127="Acquisto",Q127+N(D127),MAX(0,Q127-N(D127))))</f>
        <v/>
      </c>
      <c r="T127" t="str">
        <f>IF(N127="","",IF(B127="Acquisto",R127+J127+N(G127),IF(Q127&lt;=0,0,R127*(1-MIN(1,N(D127)/Q127)))))</f>
        <v/>
      </c>
      <c r="U127" t="str">
        <f>IF(B127&lt;&gt;"Vendita","",J127-N(G127)-IF(Q127&lt;=0,0,R127*MIN(1,N(D127)/Q127)))</f>
        <v/>
      </c>
      <c r="V127" t="str">
        <f>IF(B127&lt;&gt;"Dividendo","",IF(Calcoli!$B$251=1,J127,L127))</f>
        <v/>
      </c>
      <c r="W127" t="str">
        <f>IF(AND(V127&lt;&gt;"",ISNUMBER(A127)),A127,"")</f>
        <v/>
      </c>
    </row>
    <row r="128">
      <c r="A128" s="134" t="n"/>
      <c r="B128" s="116" t="n"/>
      <c r="C128" s="116" t="n"/>
      <c r="D128" s="121" t="n"/>
      <c r="E128" s="120" t="n"/>
      <c r="F128" s="120" t="n"/>
      <c r="G128" s="120" t="n"/>
      <c r="H128" s="120" t="n"/>
      <c r="I128" s="117" t="n"/>
      <c r="J128" s="123" t="str">
        <f>IF(B128="","",IF(F128&lt;&gt;"",N(F128),ROUND(N(D128)*N(E128),2)))</f>
        <v/>
      </c>
      <c r="K128" s="123" t="str">
        <f>IF(B128="","",IF(H128&lt;&gt;"",N(H128),IF(B128="Dividendo",ROUND(J128*IFERROR(INDEX(Calcoli!$V$7:$V$21,MATCH(C128,Calcoli!$A$7:$A$21,0)),0.26),2),IF(B128="Vendita",ROUND(MAX(0,U128)*IFERROR(INDEX(Calcoli!$V$7:$V$21,MATCH(C128,Calcoli!$A$7:$A$21,0)),0.26),2),0))))</f>
        <v/>
      </c>
      <c r="L128" s="135" t="str">
        <f>IF(B128="","",IF(B128="Acquisto",-(J128+N(G128)),J128-N(G128)-K128))</f>
        <v/>
      </c>
      <c r="M128" s="127" t="str">
        <f>IF(B128="","",IF(ISNA(MATCH(C128,ETF!$A$7:$A$21,0)),"ETF?",IF(NOT(ISNUMBER(A128)),"Data?",IF(AND(B128&lt;&gt;"Dividendo",N(D128)&lt;=0),"Quote?",IF(AND(B128="Vendita",N(D128)&gt;N(Q128)+0.000001),"Quote?",IF(J128&lt;=0,"Importo?","✓"))))))</f>
        <v/>
      </c>
      <c r="N128" t="str">
        <f>IF(OR(B128="Acquisto",B128="Vendita"),COUNTIFS($C$5:C128,C128,$B$5:B128,"Acquisto")+COUNTIFS($C$5:C128,C128,$B$5:B128,"Vendita"),"")</f>
        <v/>
      </c>
      <c r="O128" t="str">
        <f>IF(N128="","",C128&amp;"|"&amp;N128)</f>
        <v/>
      </c>
      <c r="P128" t="str">
        <f>IF(N128="","",IF(N128=1,0,MATCH(C128&amp;"|"&amp;(N128-1),$O$5:$O$1004,0)))</f>
        <v/>
      </c>
      <c r="Q128" t="str">
        <f>IF(N128="","",IF(P128=0,SUMIFS(Calcoli!$C$7:$C$21,Calcoli!$A$7:$A$21,C128),INDEX($S$5:$S$1004,P128)))</f>
        <v/>
      </c>
      <c r="R128" t="str">
        <f>IF(N128="","",IF(P128=0,SUMIFS(Calcoli!$D$7:$D$21,Calcoli!$A$7:$A$21,C128),INDEX($T$5:$T$1004,P128)))</f>
        <v/>
      </c>
      <c r="S128" t="str">
        <f>IF(N128="","",IF(B128="Acquisto",Q128+N(D128),MAX(0,Q128-N(D128))))</f>
        <v/>
      </c>
      <c r="T128" t="str">
        <f>IF(N128="","",IF(B128="Acquisto",R128+J128+N(G128),IF(Q128&lt;=0,0,R128*(1-MIN(1,N(D128)/Q128)))))</f>
        <v/>
      </c>
      <c r="U128" t="str">
        <f>IF(B128&lt;&gt;"Vendita","",J128-N(G128)-IF(Q128&lt;=0,0,R128*MIN(1,N(D128)/Q128)))</f>
        <v/>
      </c>
      <c r="V128" t="str">
        <f>IF(B128&lt;&gt;"Dividendo","",IF(Calcoli!$B$251=1,J128,L128))</f>
        <v/>
      </c>
      <c r="W128" t="str">
        <f>IF(AND(V128&lt;&gt;"",ISNUMBER(A128)),A128,"")</f>
        <v/>
      </c>
    </row>
    <row r="129">
      <c r="A129" s="134" t="n"/>
      <c r="B129" s="116" t="n"/>
      <c r="C129" s="116" t="n"/>
      <c r="D129" s="121" t="n"/>
      <c r="E129" s="120" t="n"/>
      <c r="F129" s="120" t="n"/>
      <c r="G129" s="120" t="n"/>
      <c r="H129" s="120" t="n"/>
      <c r="I129" s="117" t="n"/>
      <c r="J129" s="123" t="str">
        <f>IF(B129="","",IF(F129&lt;&gt;"",N(F129),ROUND(N(D129)*N(E129),2)))</f>
        <v/>
      </c>
      <c r="K129" s="123" t="str">
        <f>IF(B129="","",IF(H129&lt;&gt;"",N(H129),IF(B129="Dividendo",ROUND(J129*IFERROR(INDEX(Calcoli!$V$7:$V$21,MATCH(C129,Calcoli!$A$7:$A$21,0)),0.26),2),IF(B129="Vendita",ROUND(MAX(0,U129)*IFERROR(INDEX(Calcoli!$V$7:$V$21,MATCH(C129,Calcoli!$A$7:$A$21,0)),0.26),2),0))))</f>
        <v/>
      </c>
      <c r="L129" s="135" t="str">
        <f>IF(B129="","",IF(B129="Acquisto",-(J129+N(G129)),J129-N(G129)-K129))</f>
        <v/>
      </c>
      <c r="M129" s="127" t="str">
        <f>IF(B129="","",IF(ISNA(MATCH(C129,ETF!$A$7:$A$21,0)),"ETF?",IF(NOT(ISNUMBER(A129)),"Data?",IF(AND(B129&lt;&gt;"Dividendo",N(D129)&lt;=0),"Quote?",IF(AND(B129="Vendita",N(D129)&gt;N(Q129)+0.000001),"Quote?",IF(J129&lt;=0,"Importo?","✓"))))))</f>
        <v/>
      </c>
      <c r="N129" t="str">
        <f>IF(OR(B129="Acquisto",B129="Vendita"),COUNTIFS($C$5:C129,C129,$B$5:B129,"Acquisto")+COUNTIFS($C$5:C129,C129,$B$5:B129,"Vendita"),"")</f>
        <v/>
      </c>
      <c r="O129" t="str">
        <f>IF(N129="","",C129&amp;"|"&amp;N129)</f>
        <v/>
      </c>
      <c r="P129" t="str">
        <f>IF(N129="","",IF(N129=1,0,MATCH(C129&amp;"|"&amp;(N129-1),$O$5:$O$1004,0)))</f>
        <v/>
      </c>
      <c r="Q129" t="str">
        <f>IF(N129="","",IF(P129=0,SUMIFS(Calcoli!$C$7:$C$21,Calcoli!$A$7:$A$21,C129),INDEX($S$5:$S$1004,P129)))</f>
        <v/>
      </c>
      <c r="R129" t="str">
        <f>IF(N129="","",IF(P129=0,SUMIFS(Calcoli!$D$7:$D$21,Calcoli!$A$7:$A$21,C129),INDEX($T$5:$T$1004,P129)))</f>
        <v/>
      </c>
      <c r="S129" t="str">
        <f>IF(N129="","",IF(B129="Acquisto",Q129+N(D129),MAX(0,Q129-N(D129))))</f>
        <v/>
      </c>
      <c r="T129" t="str">
        <f>IF(N129="","",IF(B129="Acquisto",R129+J129+N(G129),IF(Q129&lt;=0,0,R129*(1-MIN(1,N(D129)/Q129)))))</f>
        <v/>
      </c>
      <c r="U129" t="str">
        <f>IF(B129&lt;&gt;"Vendita","",J129-N(G129)-IF(Q129&lt;=0,0,R129*MIN(1,N(D129)/Q129)))</f>
        <v/>
      </c>
      <c r="V129" t="str">
        <f>IF(B129&lt;&gt;"Dividendo","",IF(Calcoli!$B$251=1,J129,L129))</f>
        <v/>
      </c>
      <c r="W129" t="str">
        <f>IF(AND(V129&lt;&gt;"",ISNUMBER(A129)),A129,"")</f>
        <v/>
      </c>
    </row>
    <row r="130">
      <c r="A130" s="134" t="n"/>
      <c r="B130" s="116" t="n"/>
      <c r="C130" s="116" t="n"/>
      <c r="D130" s="121" t="n"/>
      <c r="E130" s="120" t="n"/>
      <c r="F130" s="120" t="n"/>
      <c r="G130" s="120" t="n"/>
      <c r="H130" s="120" t="n"/>
      <c r="I130" s="117" t="n"/>
      <c r="J130" s="123" t="str">
        <f>IF(B130="","",IF(F130&lt;&gt;"",N(F130),ROUND(N(D130)*N(E130),2)))</f>
        <v/>
      </c>
      <c r="K130" s="123" t="str">
        <f>IF(B130="","",IF(H130&lt;&gt;"",N(H130),IF(B130="Dividendo",ROUND(J130*IFERROR(INDEX(Calcoli!$V$7:$V$21,MATCH(C130,Calcoli!$A$7:$A$21,0)),0.26),2),IF(B130="Vendita",ROUND(MAX(0,U130)*IFERROR(INDEX(Calcoli!$V$7:$V$21,MATCH(C130,Calcoli!$A$7:$A$21,0)),0.26),2),0))))</f>
        <v/>
      </c>
      <c r="L130" s="135" t="str">
        <f>IF(B130="","",IF(B130="Acquisto",-(J130+N(G130)),J130-N(G130)-K130))</f>
        <v/>
      </c>
      <c r="M130" s="127" t="str">
        <f>IF(B130="","",IF(ISNA(MATCH(C130,ETF!$A$7:$A$21,0)),"ETF?",IF(NOT(ISNUMBER(A130)),"Data?",IF(AND(B130&lt;&gt;"Dividendo",N(D130)&lt;=0),"Quote?",IF(AND(B130="Vendita",N(D130)&gt;N(Q130)+0.000001),"Quote?",IF(J130&lt;=0,"Importo?","✓"))))))</f>
        <v/>
      </c>
      <c r="N130" t="str">
        <f>IF(OR(B130="Acquisto",B130="Vendita"),COUNTIFS($C$5:C130,C130,$B$5:B130,"Acquisto")+COUNTIFS($C$5:C130,C130,$B$5:B130,"Vendita"),"")</f>
        <v/>
      </c>
      <c r="O130" t="str">
        <f>IF(N130="","",C130&amp;"|"&amp;N130)</f>
        <v/>
      </c>
      <c r="P130" t="str">
        <f>IF(N130="","",IF(N130=1,0,MATCH(C130&amp;"|"&amp;(N130-1),$O$5:$O$1004,0)))</f>
        <v/>
      </c>
      <c r="Q130" t="str">
        <f>IF(N130="","",IF(P130=0,SUMIFS(Calcoli!$C$7:$C$21,Calcoli!$A$7:$A$21,C130),INDEX($S$5:$S$1004,P130)))</f>
        <v/>
      </c>
      <c r="R130" t="str">
        <f>IF(N130="","",IF(P130=0,SUMIFS(Calcoli!$D$7:$D$21,Calcoli!$A$7:$A$21,C130),INDEX($T$5:$T$1004,P130)))</f>
        <v/>
      </c>
      <c r="S130" t="str">
        <f>IF(N130="","",IF(B130="Acquisto",Q130+N(D130),MAX(0,Q130-N(D130))))</f>
        <v/>
      </c>
      <c r="T130" t="str">
        <f>IF(N130="","",IF(B130="Acquisto",R130+J130+N(G130),IF(Q130&lt;=0,0,R130*(1-MIN(1,N(D130)/Q130)))))</f>
        <v/>
      </c>
      <c r="U130" t="str">
        <f>IF(B130&lt;&gt;"Vendita","",J130-N(G130)-IF(Q130&lt;=0,0,R130*MIN(1,N(D130)/Q130)))</f>
        <v/>
      </c>
      <c r="V130" t="str">
        <f>IF(B130&lt;&gt;"Dividendo","",IF(Calcoli!$B$251=1,J130,L130))</f>
        <v/>
      </c>
      <c r="W130" t="str">
        <f>IF(AND(V130&lt;&gt;"",ISNUMBER(A130)),A130,"")</f>
        <v/>
      </c>
    </row>
    <row r="131">
      <c r="A131" s="134" t="n"/>
      <c r="B131" s="116" t="n"/>
      <c r="C131" s="116" t="n"/>
      <c r="D131" s="121" t="n"/>
      <c r="E131" s="120" t="n"/>
      <c r="F131" s="120" t="n"/>
      <c r="G131" s="120" t="n"/>
      <c r="H131" s="120" t="n"/>
      <c r="I131" s="117" t="n"/>
      <c r="J131" s="123" t="str">
        <f>IF(B131="","",IF(F131&lt;&gt;"",N(F131),ROUND(N(D131)*N(E131),2)))</f>
        <v/>
      </c>
      <c r="K131" s="123" t="str">
        <f>IF(B131="","",IF(H131&lt;&gt;"",N(H131),IF(B131="Dividendo",ROUND(J131*IFERROR(INDEX(Calcoli!$V$7:$V$21,MATCH(C131,Calcoli!$A$7:$A$21,0)),0.26),2),IF(B131="Vendita",ROUND(MAX(0,U131)*IFERROR(INDEX(Calcoli!$V$7:$V$21,MATCH(C131,Calcoli!$A$7:$A$21,0)),0.26),2),0))))</f>
        <v/>
      </c>
      <c r="L131" s="135" t="str">
        <f>IF(B131="","",IF(B131="Acquisto",-(J131+N(G131)),J131-N(G131)-K131))</f>
        <v/>
      </c>
      <c r="M131" s="127" t="str">
        <f>IF(B131="","",IF(ISNA(MATCH(C131,ETF!$A$7:$A$21,0)),"ETF?",IF(NOT(ISNUMBER(A131)),"Data?",IF(AND(B131&lt;&gt;"Dividendo",N(D131)&lt;=0),"Quote?",IF(AND(B131="Vendita",N(D131)&gt;N(Q131)+0.000001),"Quote?",IF(J131&lt;=0,"Importo?","✓"))))))</f>
        <v/>
      </c>
      <c r="N131" t="str">
        <f>IF(OR(B131="Acquisto",B131="Vendita"),COUNTIFS($C$5:C131,C131,$B$5:B131,"Acquisto")+COUNTIFS($C$5:C131,C131,$B$5:B131,"Vendita"),"")</f>
        <v/>
      </c>
      <c r="O131" t="str">
        <f>IF(N131="","",C131&amp;"|"&amp;N131)</f>
        <v/>
      </c>
      <c r="P131" t="str">
        <f>IF(N131="","",IF(N131=1,0,MATCH(C131&amp;"|"&amp;(N131-1),$O$5:$O$1004,0)))</f>
        <v/>
      </c>
      <c r="Q131" t="str">
        <f>IF(N131="","",IF(P131=0,SUMIFS(Calcoli!$C$7:$C$21,Calcoli!$A$7:$A$21,C131),INDEX($S$5:$S$1004,P131)))</f>
        <v/>
      </c>
      <c r="R131" t="str">
        <f>IF(N131="","",IF(P131=0,SUMIFS(Calcoli!$D$7:$D$21,Calcoli!$A$7:$A$21,C131),INDEX($T$5:$T$1004,P131)))</f>
        <v/>
      </c>
      <c r="S131" t="str">
        <f>IF(N131="","",IF(B131="Acquisto",Q131+N(D131),MAX(0,Q131-N(D131))))</f>
        <v/>
      </c>
      <c r="T131" t="str">
        <f>IF(N131="","",IF(B131="Acquisto",R131+J131+N(G131),IF(Q131&lt;=0,0,R131*(1-MIN(1,N(D131)/Q131)))))</f>
        <v/>
      </c>
      <c r="U131" t="str">
        <f>IF(B131&lt;&gt;"Vendita","",J131-N(G131)-IF(Q131&lt;=0,0,R131*MIN(1,N(D131)/Q131)))</f>
        <v/>
      </c>
      <c r="V131" t="str">
        <f>IF(B131&lt;&gt;"Dividendo","",IF(Calcoli!$B$251=1,J131,L131))</f>
        <v/>
      </c>
      <c r="W131" t="str">
        <f>IF(AND(V131&lt;&gt;"",ISNUMBER(A131)),A131,"")</f>
        <v/>
      </c>
    </row>
    <row r="132">
      <c r="A132" s="134" t="n"/>
      <c r="B132" s="116" t="n"/>
      <c r="C132" s="116" t="n"/>
      <c r="D132" s="121" t="n"/>
      <c r="E132" s="120" t="n"/>
      <c r="F132" s="120" t="n"/>
      <c r="G132" s="120" t="n"/>
      <c r="H132" s="120" t="n"/>
      <c r="I132" s="117" t="n"/>
      <c r="J132" s="123" t="str">
        <f>IF(B132="","",IF(F132&lt;&gt;"",N(F132),ROUND(N(D132)*N(E132),2)))</f>
        <v/>
      </c>
      <c r="K132" s="123" t="str">
        <f>IF(B132="","",IF(H132&lt;&gt;"",N(H132),IF(B132="Dividendo",ROUND(J132*IFERROR(INDEX(Calcoli!$V$7:$V$21,MATCH(C132,Calcoli!$A$7:$A$21,0)),0.26),2),IF(B132="Vendita",ROUND(MAX(0,U132)*IFERROR(INDEX(Calcoli!$V$7:$V$21,MATCH(C132,Calcoli!$A$7:$A$21,0)),0.26),2),0))))</f>
        <v/>
      </c>
      <c r="L132" s="135" t="str">
        <f>IF(B132="","",IF(B132="Acquisto",-(J132+N(G132)),J132-N(G132)-K132))</f>
        <v/>
      </c>
      <c r="M132" s="127" t="str">
        <f>IF(B132="","",IF(ISNA(MATCH(C132,ETF!$A$7:$A$21,0)),"ETF?",IF(NOT(ISNUMBER(A132)),"Data?",IF(AND(B132&lt;&gt;"Dividendo",N(D132)&lt;=0),"Quote?",IF(AND(B132="Vendita",N(D132)&gt;N(Q132)+0.000001),"Quote?",IF(J132&lt;=0,"Importo?","✓"))))))</f>
        <v/>
      </c>
      <c r="N132" t="str">
        <f>IF(OR(B132="Acquisto",B132="Vendita"),COUNTIFS($C$5:C132,C132,$B$5:B132,"Acquisto")+COUNTIFS($C$5:C132,C132,$B$5:B132,"Vendita"),"")</f>
        <v/>
      </c>
      <c r="O132" t="str">
        <f>IF(N132="","",C132&amp;"|"&amp;N132)</f>
        <v/>
      </c>
      <c r="P132" t="str">
        <f>IF(N132="","",IF(N132=1,0,MATCH(C132&amp;"|"&amp;(N132-1),$O$5:$O$1004,0)))</f>
        <v/>
      </c>
      <c r="Q132" t="str">
        <f>IF(N132="","",IF(P132=0,SUMIFS(Calcoli!$C$7:$C$21,Calcoli!$A$7:$A$21,C132),INDEX($S$5:$S$1004,P132)))</f>
        <v/>
      </c>
      <c r="R132" t="str">
        <f>IF(N132="","",IF(P132=0,SUMIFS(Calcoli!$D$7:$D$21,Calcoli!$A$7:$A$21,C132),INDEX($T$5:$T$1004,P132)))</f>
        <v/>
      </c>
      <c r="S132" t="str">
        <f>IF(N132="","",IF(B132="Acquisto",Q132+N(D132),MAX(0,Q132-N(D132))))</f>
        <v/>
      </c>
      <c r="T132" t="str">
        <f>IF(N132="","",IF(B132="Acquisto",R132+J132+N(G132),IF(Q132&lt;=0,0,R132*(1-MIN(1,N(D132)/Q132)))))</f>
        <v/>
      </c>
      <c r="U132" t="str">
        <f>IF(B132&lt;&gt;"Vendita","",J132-N(G132)-IF(Q132&lt;=0,0,R132*MIN(1,N(D132)/Q132)))</f>
        <v/>
      </c>
      <c r="V132" t="str">
        <f>IF(B132&lt;&gt;"Dividendo","",IF(Calcoli!$B$251=1,J132,L132))</f>
        <v/>
      </c>
      <c r="W132" t="str">
        <f>IF(AND(V132&lt;&gt;"",ISNUMBER(A132)),A132,"")</f>
        <v/>
      </c>
    </row>
    <row r="133">
      <c r="A133" s="134" t="n"/>
      <c r="B133" s="116" t="n"/>
      <c r="C133" s="116" t="n"/>
      <c r="D133" s="121" t="n"/>
      <c r="E133" s="120" t="n"/>
      <c r="F133" s="120" t="n"/>
      <c r="G133" s="120" t="n"/>
      <c r="H133" s="120" t="n"/>
      <c r="I133" s="117" t="n"/>
      <c r="J133" s="123" t="str">
        <f>IF(B133="","",IF(F133&lt;&gt;"",N(F133),ROUND(N(D133)*N(E133),2)))</f>
        <v/>
      </c>
      <c r="K133" s="123" t="str">
        <f>IF(B133="","",IF(H133&lt;&gt;"",N(H133),IF(B133="Dividendo",ROUND(J133*IFERROR(INDEX(Calcoli!$V$7:$V$21,MATCH(C133,Calcoli!$A$7:$A$21,0)),0.26),2),IF(B133="Vendita",ROUND(MAX(0,U133)*IFERROR(INDEX(Calcoli!$V$7:$V$21,MATCH(C133,Calcoli!$A$7:$A$21,0)),0.26),2),0))))</f>
        <v/>
      </c>
      <c r="L133" s="135" t="str">
        <f>IF(B133="","",IF(B133="Acquisto",-(J133+N(G133)),J133-N(G133)-K133))</f>
        <v/>
      </c>
      <c r="M133" s="127" t="str">
        <f>IF(B133="","",IF(ISNA(MATCH(C133,ETF!$A$7:$A$21,0)),"ETF?",IF(NOT(ISNUMBER(A133)),"Data?",IF(AND(B133&lt;&gt;"Dividendo",N(D133)&lt;=0),"Quote?",IF(AND(B133="Vendita",N(D133)&gt;N(Q133)+0.000001),"Quote?",IF(J133&lt;=0,"Importo?","✓"))))))</f>
        <v/>
      </c>
      <c r="N133" t="str">
        <f>IF(OR(B133="Acquisto",B133="Vendita"),COUNTIFS($C$5:C133,C133,$B$5:B133,"Acquisto")+COUNTIFS($C$5:C133,C133,$B$5:B133,"Vendita"),"")</f>
        <v/>
      </c>
      <c r="O133" t="str">
        <f>IF(N133="","",C133&amp;"|"&amp;N133)</f>
        <v/>
      </c>
      <c r="P133" t="str">
        <f>IF(N133="","",IF(N133=1,0,MATCH(C133&amp;"|"&amp;(N133-1),$O$5:$O$1004,0)))</f>
        <v/>
      </c>
      <c r="Q133" t="str">
        <f>IF(N133="","",IF(P133=0,SUMIFS(Calcoli!$C$7:$C$21,Calcoli!$A$7:$A$21,C133),INDEX($S$5:$S$1004,P133)))</f>
        <v/>
      </c>
      <c r="R133" t="str">
        <f>IF(N133="","",IF(P133=0,SUMIFS(Calcoli!$D$7:$D$21,Calcoli!$A$7:$A$21,C133),INDEX($T$5:$T$1004,P133)))</f>
        <v/>
      </c>
      <c r="S133" t="str">
        <f>IF(N133="","",IF(B133="Acquisto",Q133+N(D133),MAX(0,Q133-N(D133))))</f>
        <v/>
      </c>
      <c r="T133" t="str">
        <f>IF(N133="","",IF(B133="Acquisto",R133+J133+N(G133),IF(Q133&lt;=0,0,R133*(1-MIN(1,N(D133)/Q133)))))</f>
        <v/>
      </c>
      <c r="U133" t="str">
        <f>IF(B133&lt;&gt;"Vendita","",J133-N(G133)-IF(Q133&lt;=0,0,R133*MIN(1,N(D133)/Q133)))</f>
        <v/>
      </c>
      <c r="V133" t="str">
        <f>IF(B133&lt;&gt;"Dividendo","",IF(Calcoli!$B$251=1,J133,L133))</f>
        <v/>
      </c>
      <c r="W133" t="str">
        <f>IF(AND(V133&lt;&gt;"",ISNUMBER(A133)),A133,"")</f>
        <v/>
      </c>
    </row>
    <row r="134">
      <c r="A134" s="134" t="n"/>
      <c r="B134" s="116" t="n"/>
      <c r="C134" s="116" t="n"/>
      <c r="D134" s="121" t="n"/>
      <c r="E134" s="120" t="n"/>
      <c r="F134" s="120" t="n"/>
      <c r="G134" s="120" t="n"/>
      <c r="H134" s="120" t="n"/>
      <c r="I134" s="117" t="n"/>
      <c r="J134" s="123" t="str">
        <f>IF(B134="","",IF(F134&lt;&gt;"",N(F134),ROUND(N(D134)*N(E134),2)))</f>
        <v/>
      </c>
      <c r="K134" s="123" t="str">
        <f>IF(B134="","",IF(H134&lt;&gt;"",N(H134),IF(B134="Dividendo",ROUND(J134*IFERROR(INDEX(Calcoli!$V$7:$V$21,MATCH(C134,Calcoli!$A$7:$A$21,0)),0.26),2),IF(B134="Vendita",ROUND(MAX(0,U134)*IFERROR(INDEX(Calcoli!$V$7:$V$21,MATCH(C134,Calcoli!$A$7:$A$21,0)),0.26),2),0))))</f>
        <v/>
      </c>
      <c r="L134" s="135" t="str">
        <f>IF(B134="","",IF(B134="Acquisto",-(J134+N(G134)),J134-N(G134)-K134))</f>
        <v/>
      </c>
      <c r="M134" s="127" t="str">
        <f>IF(B134="","",IF(ISNA(MATCH(C134,ETF!$A$7:$A$21,0)),"ETF?",IF(NOT(ISNUMBER(A134)),"Data?",IF(AND(B134&lt;&gt;"Dividendo",N(D134)&lt;=0),"Quote?",IF(AND(B134="Vendita",N(D134)&gt;N(Q134)+0.000001),"Quote?",IF(J134&lt;=0,"Importo?","✓"))))))</f>
        <v/>
      </c>
      <c r="N134" t="str">
        <f>IF(OR(B134="Acquisto",B134="Vendita"),COUNTIFS($C$5:C134,C134,$B$5:B134,"Acquisto")+COUNTIFS($C$5:C134,C134,$B$5:B134,"Vendita"),"")</f>
        <v/>
      </c>
      <c r="O134" t="str">
        <f>IF(N134="","",C134&amp;"|"&amp;N134)</f>
        <v/>
      </c>
      <c r="P134" t="str">
        <f>IF(N134="","",IF(N134=1,0,MATCH(C134&amp;"|"&amp;(N134-1),$O$5:$O$1004,0)))</f>
        <v/>
      </c>
      <c r="Q134" t="str">
        <f>IF(N134="","",IF(P134=0,SUMIFS(Calcoli!$C$7:$C$21,Calcoli!$A$7:$A$21,C134),INDEX($S$5:$S$1004,P134)))</f>
        <v/>
      </c>
      <c r="R134" t="str">
        <f>IF(N134="","",IF(P134=0,SUMIFS(Calcoli!$D$7:$D$21,Calcoli!$A$7:$A$21,C134),INDEX($T$5:$T$1004,P134)))</f>
        <v/>
      </c>
      <c r="S134" t="str">
        <f>IF(N134="","",IF(B134="Acquisto",Q134+N(D134),MAX(0,Q134-N(D134))))</f>
        <v/>
      </c>
      <c r="T134" t="str">
        <f>IF(N134="","",IF(B134="Acquisto",R134+J134+N(G134),IF(Q134&lt;=0,0,R134*(1-MIN(1,N(D134)/Q134)))))</f>
        <v/>
      </c>
      <c r="U134" t="str">
        <f>IF(B134&lt;&gt;"Vendita","",J134-N(G134)-IF(Q134&lt;=0,0,R134*MIN(1,N(D134)/Q134)))</f>
        <v/>
      </c>
      <c r="V134" t="str">
        <f>IF(B134&lt;&gt;"Dividendo","",IF(Calcoli!$B$251=1,J134,L134))</f>
        <v/>
      </c>
      <c r="W134" t="str">
        <f>IF(AND(V134&lt;&gt;"",ISNUMBER(A134)),A134,"")</f>
        <v/>
      </c>
    </row>
    <row r="135">
      <c r="A135" s="134" t="n"/>
      <c r="B135" s="116" t="n"/>
      <c r="C135" s="116" t="n"/>
      <c r="D135" s="121" t="n"/>
      <c r="E135" s="120" t="n"/>
      <c r="F135" s="120" t="n"/>
      <c r="G135" s="120" t="n"/>
      <c r="H135" s="120" t="n"/>
      <c r="I135" s="117" t="n"/>
      <c r="J135" s="123" t="str">
        <f>IF(B135="","",IF(F135&lt;&gt;"",N(F135),ROUND(N(D135)*N(E135),2)))</f>
        <v/>
      </c>
      <c r="K135" s="123" t="str">
        <f>IF(B135="","",IF(H135&lt;&gt;"",N(H135),IF(B135="Dividendo",ROUND(J135*IFERROR(INDEX(Calcoli!$V$7:$V$21,MATCH(C135,Calcoli!$A$7:$A$21,0)),0.26),2),IF(B135="Vendita",ROUND(MAX(0,U135)*IFERROR(INDEX(Calcoli!$V$7:$V$21,MATCH(C135,Calcoli!$A$7:$A$21,0)),0.26),2),0))))</f>
        <v/>
      </c>
      <c r="L135" s="135" t="str">
        <f>IF(B135="","",IF(B135="Acquisto",-(J135+N(G135)),J135-N(G135)-K135))</f>
        <v/>
      </c>
      <c r="M135" s="127" t="str">
        <f>IF(B135="","",IF(ISNA(MATCH(C135,ETF!$A$7:$A$21,0)),"ETF?",IF(NOT(ISNUMBER(A135)),"Data?",IF(AND(B135&lt;&gt;"Dividendo",N(D135)&lt;=0),"Quote?",IF(AND(B135="Vendita",N(D135)&gt;N(Q135)+0.000001),"Quote?",IF(J135&lt;=0,"Importo?","✓"))))))</f>
        <v/>
      </c>
      <c r="N135" t="str">
        <f>IF(OR(B135="Acquisto",B135="Vendita"),COUNTIFS($C$5:C135,C135,$B$5:B135,"Acquisto")+COUNTIFS($C$5:C135,C135,$B$5:B135,"Vendita"),"")</f>
        <v/>
      </c>
      <c r="O135" t="str">
        <f>IF(N135="","",C135&amp;"|"&amp;N135)</f>
        <v/>
      </c>
      <c r="P135" t="str">
        <f>IF(N135="","",IF(N135=1,0,MATCH(C135&amp;"|"&amp;(N135-1),$O$5:$O$1004,0)))</f>
        <v/>
      </c>
      <c r="Q135" t="str">
        <f>IF(N135="","",IF(P135=0,SUMIFS(Calcoli!$C$7:$C$21,Calcoli!$A$7:$A$21,C135),INDEX($S$5:$S$1004,P135)))</f>
        <v/>
      </c>
      <c r="R135" t="str">
        <f>IF(N135="","",IF(P135=0,SUMIFS(Calcoli!$D$7:$D$21,Calcoli!$A$7:$A$21,C135),INDEX($T$5:$T$1004,P135)))</f>
        <v/>
      </c>
      <c r="S135" t="str">
        <f>IF(N135="","",IF(B135="Acquisto",Q135+N(D135),MAX(0,Q135-N(D135))))</f>
        <v/>
      </c>
      <c r="T135" t="str">
        <f>IF(N135="","",IF(B135="Acquisto",R135+J135+N(G135),IF(Q135&lt;=0,0,R135*(1-MIN(1,N(D135)/Q135)))))</f>
        <v/>
      </c>
      <c r="U135" t="str">
        <f>IF(B135&lt;&gt;"Vendita","",J135-N(G135)-IF(Q135&lt;=0,0,R135*MIN(1,N(D135)/Q135)))</f>
        <v/>
      </c>
      <c r="V135" t="str">
        <f>IF(B135&lt;&gt;"Dividendo","",IF(Calcoli!$B$251=1,J135,L135))</f>
        <v/>
      </c>
      <c r="W135" t="str">
        <f>IF(AND(V135&lt;&gt;"",ISNUMBER(A135)),A135,"")</f>
        <v/>
      </c>
    </row>
    <row r="136">
      <c r="A136" s="134" t="n"/>
      <c r="B136" s="116" t="n"/>
      <c r="C136" s="116" t="n"/>
      <c r="D136" s="121" t="n"/>
      <c r="E136" s="120" t="n"/>
      <c r="F136" s="120" t="n"/>
      <c r="G136" s="120" t="n"/>
      <c r="H136" s="120" t="n"/>
      <c r="I136" s="117" t="n"/>
      <c r="J136" s="123" t="str">
        <f>IF(B136="","",IF(F136&lt;&gt;"",N(F136),ROUND(N(D136)*N(E136),2)))</f>
        <v/>
      </c>
      <c r="K136" s="123" t="str">
        <f>IF(B136="","",IF(H136&lt;&gt;"",N(H136),IF(B136="Dividendo",ROUND(J136*IFERROR(INDEX(Calcoli!$V$7:$V$21,MATCH(C136,Calcoli!$A$7:$A$21,0)),0.26),2),IF(B136="Vendita",ROUND(MAX(0,U136)*IFERROR(INDEX(Calcoli!$V$7:$V$21,MATCH(C136,Calcoli!$A$7:$A$21,0)),0.26),2),0))))</f>
        <v/>
      </c>
      <c r="L136" s="135" t="str">
        <f>IF(B136="","",IF(B136="Acquisto",-(J136+N(G136)),J136-N(G136)-K136))</f>
        <v/>
      </c>
      <c r="M136" s="127" t="str">
        <f>IF(B136="","",IF(ISNA(MATCH(C136,ETF!$A$7:$A$21,0)),"ETF?",IF(NOT(ISNUMBER(A136)),"Data?",IF(AND(B136&lt;&gt;"Dividendo",N(D136)&lt;=0),"Quote?",IF(AND(B136="Vendita",N(D136)&gt;N(Q136)+0.000001),"Quote?",IF(J136&lt;=0,"Importo?","✓"))))))</f>
        <v/>
      </c>
      <c r="N136" t="str">
        <f>IF(OR(B136="Acquisto",B136="Vendita"),COUNTIFS($C$5:C136,C136,$B$5:B136,"Acquisto")+COUNTIFS($C$5:C136,C136,$B$5:B136,"Vendita"),"")</f>
        <v/>
      </c>
      <c r="O136" t="str">
        <f>IF(N136="","",C136&amp;"|"&amp;N136)</f>
        <v/>
      </c>
      <c r="P136" t="str">
        <f>IF(N136="","",IF(N136=1,0,MATCH(C136&amp;"|"&amp;(N136-1),$O$5:$O$1004,0)))</f>
        <v/>
      </c>
      <c r="Q136" t="str">
        <f>IF(N136="","",IF(P136=0,SUMIFS(Calcoli!$C$7:$C$21,Calcoli!$A$7:$A$21,C136),INDEX($S$5:$S$1004,P136)))</f>
        <v/>
      </c>
      <c r="R136" t="str">
        <f>IF(N136="","",IF(P136=0,SUMIFS(Calcoli!$D$7:$D$21,Calcoli!$A$7:$A$21,C136),INDEX($T$5:$T$1004,P136)))</f>
        <v/>
      </c>
      <c r="S136" t="str">
        <f>IF(N136="","",IF(B136="Acquisto",Q136+N(D136),MAX(0,Q136-N(D136))))</f>
        <v/>
      </c>
      <c r="T136" t="str">
        <f>IF(N136="","",IF(B136="Acquisto",R136+J136+N(G136),IF(Q136&lt;=0,0,R136*(1-MIN(1,N(D136)/Q136)))))</f>
        <v/>
      </c>
      <c r="U136" t="str">
        <f>IF(B136&lt;&gt;"Vendita","",J136-N(G136)-IF(Q136&lt;=0,0,R136*MIN(1,N(D136)/Q136)))</f>
        <v/>
      </c>
      <c r="V136" t="str">
        <f>IF(B136&lt;&gt;"Dividendo","",IF(Calcoli!$B$251=1,J136,L136))</f>
        <v/>
      </c>
      <c r="W136" t="str">
        <f>IF(AND(V136&lt;&gt;"",ISNUMBER(A136)),A136,"")</f>
        <v/>
      </c>
    </row>
    <row r="137">
      <c r="A137" s="134" t="n"/>
      <c r="B137" s="116" t="n"/>
      <c r="C137" s="116" t="n"/>
      <c r="D137" s="121" t="n"/>
      <c r="E137" s="120" t="n"/>
      <c r="F137" s="120" t="n"/>
      <c r="G137" s="120" t="n"/>
      <c r="H137" s="120" t="n"/>
      <c r="I137" s="117" t="n"/>
      <c r="J137" s="123" t="str">
        <f>IF(B137="","",IF(F137&lt;&gt;"",N(F137),ROUND(N(D137)*N(E137),2)))</f>
        <v/>
      </c>
      <c r="K137" s="123" t="str">
        <f>IF(B137="","",IF(H137&lt;&gt;"",N(H137),IF(B137="Dividendo",ROUND(J137*IFERROR(INDEX(Calcoli!$V$7:$V$21,MATCH(C137,Calcoli!$A$7:$A$21,0)),0.26),2),IF(B137="Vendita",ROUND(MAX(0,U137)*IFERROR(INDEX(Calcoli!$V$7:$V$21,MATCH(C137,Calcoli!$A$7:$A$21,0)),0.26),2),0))))</f>
        <v/>
      </c>
      <c r="L137" s="135" t="str">
        <f>IF(B137="","",IF(B137="Acquisto",-(J137+N(G137)),J137-N(G137)-K137))</f>
        <v/>
      </c>
      <c r="M137" s="127" t="str">
        <f>IF(B137="","",IF(ISNA(MATCH(C137,ETF!$A$7:$A$21,0)),"ETF?",IF(NOT(ISNUMBER(A137)),"Data?",IF(AND(B137&lt;&gt;"Dividendo",N(D137)&lt;=0),"Quote?",IF(AND(B137="Vendita",N(D137)&gt;N(Q137)+0.000001),"Quote?",IF(J137&lt;=0,"Importo?","✓"))))))</f>
        <v/>
      </c>
      <c r="N137" t="str">
        <f>IF(OR(B137="Acquisto",B137="Vendita"),COUNTIFS($C$5:C137,C137,$B$5:B137,"Acquisto")+COUNTIFS($C$5:C137,C137,$B$5:B137,"Vendita"),"")</f>
        <v/>
      </c>
      <c r="O137" t="str">
        <f>IF(N137="","",C137&amp;"|"&amp;N137)</f>
        <v/>
      </c>
      <c r="P137" t="str">
        <f>IF(N137="","",IF(N137=1,0,MATCH(C137&amp;"|"&amp;(N137-1),$O$5:$O$1004,0)))</f>
        <v/>
      </c>
      <c r="Q137" t="str">
        <f>IF(N137="","",IF(P137=0,SUMIFS(Calcoli!$C$7:$C$21,Calcoli!$A$7:$A$21,C137),INDEX($S$5:$S$1004,P137)))</f>
        <v/>
      </c>
      <c r="R137" t="str">
        <f>IF(N137="","",IF(P137=0,SUMIFS(Calcoli!$D$7:$D$21,Calcoli!$A$7:$A$21,C137),INDEX($T$5:$T$1004,P137)))</f>
        <v/>
      </c>
      <c r="S137" t="str">
        <f>IF(N137="","",IF(B137="Acquisto",Q137+N(D137),MAX(0,Q137-N(D137))))</f>
        <v/>
      </c>
      <c r="T137" t="str">
        <f>IF(N137="","",IF(B137="Acquisto",R137+J137+N(G137),IF(Q137&lt;=0,0,R137*(1-MIN(1,N(D137)/Q137)))))</f>
        <v/>
      </c>
      <c r="U137" t="str">
        <f>IF(B137&lt;&gt;"Vendita","",J137-N(G137)-IF(Q137&lt;=0,0,R137*MIN(1,N(D137)/Q137)))</f>
        <v/>
      </c>
      <c r="V137" t="str">
        <f>IF(B137&lt;&gt;"Dividendo","",IF(Calcoli!$B$251=1,J137,L137))</f>
        <v/>
      </c>
      <c r="W137" t="str">
        <f>IF(AND(V137&lt;&gt;"",ISNUMBER(A137)),A137,"")</f>
        <v/>
      </c>
    </row>
    <row r="138">
      <c r="A138" s="134" t="n"/>
      <c r="B138" s="116" t="n"/>
      <c r="C138" s="116" t="n"/>
      <c r="D138" s="121" t="n"/>
      <c r="E138" s="120" t="n"/>
      <c r="F138" s="120" t="n"/>
      <c r="G138" s="120" t="n"/>
      <c r="H138" s="120" t="n"/>
      <c r="I138" s="117" t="n"/>
      <c r="J138" s="123" t="str">
        <f>IF(B138="","",IF(F138&lt;&gt;"",N(F138),ROUND(N(D138)*N(E138),2)))</f>
        <v/>
      </c>
      <c r="K138" s="123" t="str">
        <f>IF(B138="","",IF(H138&lt;&gt;"",N(H138),IF(B138="Dividendo",ROUND(J138*IFERROR(INDEX(Calcoli!$V$7:$V$21,MATCH(C138,Calcoli!$A$7:$A$21,0)),0.26),2),IF(B138="Vendita",ROUND(MAX(0,U138)*IFERROR(INDEX(Calcoli!$V$7:$V$21,MATCH(C138,Calcoli!$A$7:$A$21,0)),0.26),2),0))))</f>
        <v/>
      </c>
      <c r="L138" s="135" t="str">
        <f>IF(B138="","",IF(B138="Acquisto",-(J138+N(G138)),J138-N(G138)-K138))</f>
        <v/>
      </c>
      <c r="M138" s="127" t="str">
        <f>IF(B138="","",IF(ISNA(MATCH(C138,ETF!$A$7:$A$21,0)),"ETF?",IF(NOT(ISNUMBER(A138)),"Data?",IF(AND(B138&lt;&gt;"Dividendo",N(D138)&lt;=0),"Quote?",IF(AND(B138="Vendita",N(D138)&gt;N(Q138)+0.000001),"Quote?",IF(J138&lt;=0,"Importo?","✓"))))))</f>
        <v/>
      </c>
      <c r="N138" t="str">
        <f>IF(OR(B138="Acquisto",B138="Vendita"),COUNTIFS($C$5:C138,C138,$B$5:B138,"Acquisto")+COUNTIFS($C$5:C138,C138,$B$5:B138,"Vendita"),"")</f>
        <v/>
      </c>
      <c r="O138" t="str">
        <f>IF(N138="","",C138&amp;"|"&amp;N138)</f>
        <v/>
      </c>
      <c r="P138" t="str">
        <f>IF(N138="","",IF(N138=1,0,MATCH(C138&amp;"|"&amp;(N138-1),$O$5:$O$1004,0)))</f>
        <v/>
      </c>
      <c r="Q138" t="str">
        <f>IF(N138="","",IF(P138=0,SUMIFS(Calcoli!$C$7:$C$21,Calcoli!$A$7:$A$21,C138),INDEX($S$5:$S$1004,P138)))</f>
        <v/>
      </c>
      <c r="R138" t="str">
        <f>IF(N138="","",IF(P138=0,SUMIFS(Calcoli!$D$7:$D$21,Calcoli!$A$7:$A$21,C138),INDEX($T$5:$T$1004,P138)))</f>
        <v/>
      </c>
      <c r="S138" t="str">
        <f>IF(N138="","",IF(B138="Acquisto",Q138+N(D138),MAX(0,Q138-N(D138))))</f>
        <v/>
      </c>
      <c r="T138" t="str">
        <f>IF(N138="","",IF(B138="Acquisto",R138+J138+N(G138),IF(Q138&lt;=0,0,R138*(1-MIN(1,N(D138)/Q138)))))</f>
        <v/>
      </c>
      <c r="U138" t="str">
        <f>IF(B138&lt;&gt;"Vendita","",J138-N(G138)-IF(Q138&lt;=0,0,R138*MIN(1,N(D138)/Q138)))</f>
        <v/>
      </c>
      <c r="V138" t="str">
        <f>IF(B138&lt;&gt;"Dividendo","",IF(Calcoli!$B$251=1,J138,L138))</f>
        <v/>
      </c>
      <c r="W138" t="str">
        <f>IF(AND(V138&lt;&gt;"",ISNUMBER(A138)),A138,"")</f>
        <v/>
      </c>
    </row>
    <row r="139">
      <c r="A139" s="134" t="n"/>
      <c r="B139" s="116" t="n"/>
      <c r="C139" s="116" t="n"/>
      <c r="D139" s="121" t="n"/>
      <c r="E139" s="120" t="n"/>
      <c r="F139" s="120" t="n"/>
      <c r="G139" s="120" t="n"/>
      <c r="H139" s="120" t="n"/>
      <c r="I139" s="117" t="n"/>
      <c r="J139" s="123" t="str">
        <f>IF(B139="","",IF(F139&lt;&gt;"",N(F139),ROUND(N(D139)*N(E139),2)))</f>
        <v/>
      </c>
      <c r="K139" s="123" t="str">
        <f>IF(B139="","",IF(H139&lt;&gt;"",N(H139),IF(B139="Dividendo",ROUND(J139*IFERROR(INDEX(Calcoli!$V$7:$V$21,MATCH(C139,Calcoli!$A$7:$A$21,0)),0.26),2),IF(B139="Vendita",ROUND(MAX(0,U139)*IFERROR(INDEX(Calcoli!$V$7:$V$21,MATCH(C139,Calcoli!$A$7:$A$21,0)),0.26),2),0))))</f>
        <v/>
      </c>
      <c r="L139" s="135" t="str">
        <f>IF(B139="","",IF(B139="Acquisto",-(J139+N(G139)),J139-N(G139)-K139))</f>
        <v/>
      </c>
      <c r="M139" s="127" t="str">
        <f>IF(B139="","",IF(ISNA(MATCH(C139,ETF!$A$7:$A$21,0)),"ETF?",IF(NOT(ISNUMBER(A139)),"Data?",IF(AND(B139&lt;&gt;"Dividendo",N(D139)&lt;=0),"Quote?",IF(AND(B139="Vendita",N(D139)&gt;N(Q139)+0.000001),"Quote?",IF(J139&lt;=0,"Importo?","✓"))))))</f>
        <v/>
      </c>
      <c r="N139" t="str">
        <f>IF(OR(B139="Acquisto",B139="Vendita"),COUNTIFS($C$5:C139,C139,$B$5:B139,"Acquisto")+COUNTIFS($C$5:C139,C139,$B$5:B139,"Vendita"),"")</f>
        <v/>
      </c>
      <c r="O139" t="str">
        <f>IF(N139="","",C139&amp;"|"&amp;N139)</f>
        <v/>
      </c>
      <c r="P139" t="str">
        <f>IF(N139="","",IF(N139=1,0,MATCH(C139&amp;"|"&amp;(N139-1),$O$5:$O$1004,0)))</f>
        <v/>
      </c>
      <c r="Q139" t="str">
        <f>IF(N139="","",IF(P139=0,SUMIFS(Calcoli!$C$7:$C$21,Calcoli!$A$7:$A$21,C139),INDEX($S$5:$S$1004,P139)))</f>
        <v/>
      </c>
      <c r="R139" t="str">
        <f>IF(N139="","",IF(P139=0,SUMIFS(Calcoli!$D$7:$D$21,Calcoli!$A$7:$A$21,C139),INDEX($T$5:$T$1004,P139)))</f>
        <v/>
      </c>
      <c r="S139" t="str">
        <f>IF(N139="","",IF(B139="Acquisto",Q139+N(D139),MAX(0,Q139-N(D139))))</f>
        <v/>
      </c>
      <c r="T139" t="str">
        <f>IF(N139="","",IF(B139="Acquisto",R139+J139+N(G139),IF(Q139&lt;=0,0,R139*(1-MIN(1,N(D139)/Q139)))))</f>
        <v/>
      </c>
      <c r="U139" t="str">
        <f>IF(B139&lt;&gt;"Vendita","",J139-N(G139)-IF(Q139&lt;=0,0,R139*MIN(1,N(D139)/Q139)))</f>
        <v/>
      </c>
      <c r="V139" t="str">
        <f>IF(B139&lt;&gt;"Dividendo","",IF(Calcoli!$B$251=1,J139,L139))</f>
        <v/>
      </c>
      <c r="W139" t="str">
        <f>IF(AND(V139&lt;&gt;"",ISNUMBER(A139)),A139,"")</f>
        <v/>
      </c>
    </row>
    <row r="140">
      <c r="A140" s="134" t="n"/>
      <c r="B140" s="116" t="n"/>
      <c r="C140" s="116" t="n"/>
      <c r="D140" s="121" t="n"/>
      <c r="E140" s="120" t="n"/>
      <c r="F140" s="120" t="n"/>
      <c r="G140" s="120" t="n"/>
      <c r="H140" s="120" t="n"/>
      <c r="I140" s="117" t="n"/>
      <c r="J140" s="123" t="str">
        <f>IF(B140="","",IF(F140&lt;&gt;"",N(F140),ROUND(N(D140)*N(E140),2)))</f>
        <v/>
      </c>
      <c r="K140" s="123" t="str">
        <f>IF(B140="","",IF(H140&lt;&gt;"",N(H140),IF(B140="Dividendo",ROUND(J140*IFERROR(INDEX(Calcoli!$V$7:$V$21,MATCH(C140,Calcoli!$A$7:$A$21,0)),0.26),2),IF(B140="Vendita",ROUND(MAX(0,U140)*IFERROR(INDEX(Calcoli!$V$7:$V$21,MATCH(C140,Calcoli!$A$7:$A$21,0)),0.26),2),0))))</f>
        <v/>
      </c>
      <c r="L140" s="135" t="str">
        <f>IF(B140="","",IF(B140="Acquisto",-(J140+N(G140)),J140-N(G140)-K140))</f>
        <v/>
      </c>
      <c r="M140" s="127" t="str">
        <f>IF(B140="","",IF(ISNA(MATCH(C140,ETF!$A$7:$A$21,0)),"ETF?",IF(NOT(ISNUMBER(A140)),"Data?",IF(AND(B140&lt;&gt;"Dividendo",N(D140)&lt;=0),"Quote?",IF(AND(B140="Vendita",N(D140)&gt;N(Q140)+0.000001),"Quote?",IF(J140&lt;=0,"Importo?","✓"))))))</f>
        <v/>
      </c>
      <c r="N140" t="str">
        <f>IF(OR(B140="Acquisto",B140="Vendita"),COUNTIFS($C$5:C140,C140,$B$5:B140,"Acquisto")+COUNTIFS($C$5:C140,C140,$B$5:B140,"Vendita"),"")</f>
        <v/>
      </c>
      <c r="O140" t="str">
        <f>IF(N140="","",C140&amp;"|"&amp;N140)</f>
        <v/>
      </c>
      <c r="P140" t="str">
        <f>IF(N140="","",IF(N140=1,0,MATCH(C140&amp;"|"&amp;(N140-1),$O$5:$O$1004,0)))</f>
        <v/>
      </c>
      <c r="Q140" t="str">
        <f>IF(N140="","",IF(P140=0,SUMIFS(Calcoli!$C$7:$C$21,Calcoli!$A$7:$A$21,C140),INDEX($S$5:$S$1004,P140)))</f>
        <v/>
      </c>
      <c r="R140" t="str">
        <f>IF(N140="","",IF(P140=0,SUMIFS(Calcoli!$D$7:$D$21,Calcoli!$A$7:$A$21,C140),INDEX($T$5:$T$1004,P140)))</f>
        <v/>
      </c>
      <c r="S140" t="str">
        <f>IF(N140="","",IF(B140="Acquisto",Q140+N(D140),MAX(0,Q140-N(D140))))</f>
        <v/>
      </c>
      <c r="T140" t="str">
        <f>IF(N140="","",IF(B140="Acquisto",R140+J140+N(G140),IF(Q140&lt;=0,0,R140*(1-MIN(1,N(D140)/Q140)))))</f>
        <v/>
      </c>
      <c r="U140" t="str">
        <f>IF(B140&lt;&gt;"Vendita","",J140-N(G140)-IF(Q140&lt;=0,0,R140*MIN(1,N(D140)/Q140)))</f>
        <v/>
      </c>
      <c r="V140" t="str">
        <f>IF(B140&lt;&gt;"Dividendo","",IF(Calcoli!$B$251=1,J140,L140))</f>
        <v/>
      </c>
      <c r="W140" t="str">
        <f>IF(AND(V140&lt;&gt;"",ISNUMBER(A140)),A140,"")</f>
        <v/>
      </c>
    </row>
    <row r="141">
      <c r="A141" s="134" t="n"/>
      <c r="B141" s="116" t="n"/>
      <c r="C141" s="116" t="n"/>
      <c r="D141" s="121" t="n"/>
      <c r="E141" s="120" t="n"/>
      <c r="F141" s="120" t="n"/>
      <c r="G141" s="120" t="n"/>
      <c r="H141" s="120" t="n"/>
      <c r="I141" s="117" t="n"/>
      <c r="J141" s="123" t="str">
        <f>IF(B141="","",IF(F141&lt;&gt;"",N(F141),ROUND(N(D141)*N(E141),2)))</f>
        <v/>
      </c>
      <c r="K141" s="123" t="str">
        <f>IF(B141="","",IF(H141&lt;&gt;"",N(H141),IF(B141="Dividendo",ROUND(J141*IFERROR(INDEX(Calcoli!$V$7:$V$21,MATCH(C141,Calcoli!$A$7:$A$21,0)),0.26),2),IF(B141="Vendita",ROUND(MAX(0,U141)*IFERROR(INDEX(Calcoli!$V$7:$V$21,MATCH(C141,Calcoli!$A$7:$A$21,0)),0.26),2),0))))</f>
        <v/>
      </c>
      <c r="L141" s="135" t="str">
        <f>IF(B141="","",IF(B141="Acquisto",-(J141+N(G141)),J141-N(G141)-K141))</f>
        <v/>
      </c>
      <c r="M141" s="127" t="str">
        <f>IF(B141="","",IF(ISNA(MATCH(C141,ETF!$A$7:$A$21,0)),"ETF?",IF(NOT(ISNUMBER(A141)),"Data?",IF(AND(B141&lt;&gt;"Dividendo",N(D141)&lt;=0),"Quote?",IF(AND(B141="Vendita",N(D141)&gt;N(Q141)+0.000001),"Quote?",IF(J141&lt;=0,"Importo?","✓"))))))</f>
        <v/>
      </c>
      <c r="N141" t="str">
        <f>IF(OR(B141="Acquisto",B141="Vendita"),COUNTIFS($C$5:C141,C141,$B$5:B141,"Acquisto")+COUNTIFS($C$5:C141,C141,$B$5:B141,"Vendita"),"")</f>
        <v/>
      </c>
      <c r="O141" t="str">
        <f>IF(N141="","",C141&amp;"|"&amp;N141)</f>
        <v/>
      </c>
      <c r="P141" t="str">
        <f>IF(N141="","",IF(N141=1,0,MATCH(C141&amp;"|"&amp;(N141-1),$O$5:$O$1004,0)))</f>
        <v/>
      </c>
      <c r="Q141" t="str">
        <f>IF(N141="","",IF(P141=0,SUMIFS(Calcoli!$C$7:$C$21,Calcoli!$A$7:$A$21,C141),INDEX($S$5:$S$1004,P141)))</f>
        <v/>
      </c>
      <c r="R141" t="str">
        <f>IF(N141="","",IF(P141=0,SUMIFS(Calcoli!$D$7:$D$21,Calcoli!$A$7:$A$21,C141),INDEX($T$5:$T$1004,P141)))</f>
        <v/>
      </c>
      <c r="S141" t="str">
        <f>IF(N141="","",IF(B141="Acquisto",Q141+N(D141),MAX(0,Q141-N(D141))))</f>
        <v/>
      </c>
      <c r="T141" t="str">
        <f>IF(N141="","",IF(B141="Acquisto",R141+J141+N(G141),IF(Q141&lt;=0,0,R141*(1-MIN(1,N(D141)/Q141)))))</f>
        <v/>
      </c>
      <c r="U141" t="str">
        <f>IF(B141&lt;&gt;"Vendita","",J141-N(G141)-IF(Q141&lt;=0,0,R141*MIN(1,N(D141)/Q141)))</f>
        <v/>
      </c>
      <c r="V141" t="str">
        <f>IF(B141&lt;&gt;"Dividendo","",IF(Calcoli!$B$251=1,J141,L141))</f>
        <v/>
      </c>
      <c r="W141" t="str">
        <f>IF(AND(V141&lt;&gt;"",ISNUMBER(A141)),A141,"")</f>
        <v/>
      </c>
    </row>
    <row r="142">
      <c r="A142" s="134" t="n"/>
      <c r="B142" s="116" t="n"/>
      <c r="C142" s="116" t="n"/>
      <c r="D142" s="121" t="n"/>
      <c r="E142" s="120" t="n"/>
      <c r="F142" s="120" t="n"/>
      <c r="G142" s="120" t="n"/>
      <c r="H142" s="120" t="n"/>
      <c r="I142" s="117" t="n"/>
      <c r="J142" s="123" t="str">
        <f>IF(B142="","",IF(F142&lt;&gt;"",N(F142),ROUND(N(D142)*N(E142),2)))</f>
        <v/>
      </c>
      <c r="K142" s="123" t="str">
        <f>IF(B142="","",IF(H142&lt;&gt;"",N(H142),IF(B142="Dividendo",ROUND(J142*IFERROR(INDEX(Calcoli!$V$7:$V$21,MATCH(C142,Calcoli!$A$7:$A$21,0)),0.26),2),IF(B142="Vendita",ROUND(MAX(0,U142)*IFERROR(INDEX(Calcoli!$V$7:$V$21,MATCH(C142,Calcoli!$A$7:$A$21,0)),0.26),2),0))))</f>
        <v/>
      </c>
      <c r="L142" s="135" t="str">
        <f>IF(B142="","",IF(B142="Acquisto",-(J142+N(G142)),J142-N(G142)-K142))</f>
        <v/>
      </c>
      <c r="M142" s="127" t="str">
        <f>IF(B142="","",IF(ISNA(MATCH(C142,ETF!$A$7:$A$21,0)),"ETF?",IF(NOT(ISNUMBER(A142)),"Data?",IF(AND(B142&lt;&gt;"Dividendo",N(D142)&lt;=0),"Quote?",IF(AND(B142="Vendita",N(D142)&gt;N(Q142)+0.000001),"Quote?",IF(J142&lt;=0,"Importo?","✓"))))))</f>
        <v/>
      </c>
      <c r="N142" t="str">
        <f>IF(OR(B142="Acquisto",B142="Vendita"),COUNTIFS($C$5:C142,C142,$B$5:B142,"Acquisto")+COUNTIFS($C$5:C142,C142,$B$5:B142,"Vendita"),"")</f>
        <v/>
      </c>
      <c r="O142" t="str">
        <f>IF(N142="","",C142&amp;"|"&amp;N142)</f>
        <v/>
      </c>
      <c r="P142" t="str">
        <f>IF(N142="","",IF(N142=1,0,MATCH(C142&amp;"|"&amp;(N142-1),$O$5:$O$1004,0)))</f>
        <v/>
      </c>
      <c r="Q142" t="str">
        <f>IF(N142="","",IF(P142=0,SUMIFS(Calcoli!$C$7:$C$21,Calcoli!$A$7:$A$21,C142),INDEX($S$5:$S$1004,P142)))</f>
        <v/>
      </c>
      <c r="R142" t="str">
        <f>IF(N142="","",IF(P142=0,SUMIFS(Calcoli!$D$7:$D$21,Calcoli!$A$7:$A$21,C142),INDEX($T$5:$T$1004,P142)))</f>
        <v/>
      </c>
      <c r="S142" t="str">
        <f>IF(N142="","",IF(B142="Acquisto",Q142+N(D142),MAX(0,Q142-N(D142))))</f>
        <v/>
      </c>
      <c r="T142" t="str">
        <f>IF(N142="","",IF(B142="Acquisto",R142+J142+N(G142),IF(Q142&lt;=0,0,R142*(1-MIN(1,N(D142)/Q142)))))</f>
        <v/>
      </c>
      <c r="U142" t="str">
        <f>IF(B142&lt;&gt;"Vendita","",J142-N(G142)-IF(Q142&lt;=0,0,R142*MIN(1,N(D142)/Q142)))</f>
        <v/>
      </c>
      <c r="V142" t="str">
        <f>IF(B142&lt;&gt;"Dividendo","",IF(Calcoli!$B$251=1,J142,L142))</f>
        <v/>
      </c>
      <c r="W142" t="str">
        <f>IF(AND(V142&lt;&gt;"",ISNUMBER(A142)),A142,"")</f>
        <v/>
      </c>
    </row>
    <row r="143">
      <c r="A143" s="134" t="n"/>
      <c r="B143" s="116" t="n"/>
      <c r="C143" s="116" t="n"/>
      <c r="D143" s="121" t="n"/>
      <c r="E143" s="120" t="n"/>
      <c r="F143" s="120" t="n"/>
      <c r="G143" s="120" t="n"/>
      <c r="H143" s="120" t="n"/>
      <c r="I143" s="117" t="n"/>
      <c r="J143" s="123" t="str">
        <f>IF(B143="","",IF(F143&lt;&gt;"",N(F143),ROUND(N(D143)*N(E143),2)))</f>
        <v/>
      </c>
      <c r="K143" s="123" t="str">
        <f>IF(B143="","",IF(H143&lt;&gt;"",N(H143),IF(B143="Dividendo",ROUND(J143*IFERROR(INDEX(Calcoli!$V$7:$V$21,MATCH(C143,Calcoli!$A$7:$A$21,0)),0.26),2),IF(B143="Vendita",ROUND(MAX(0,U143)*IFERROR(INDEX(Calcoli!$V$7:$V$21,MATCH(C143,Calcoli!$A$7:$A$21,0)),0.26),2),0))))</f>
        <v/>
      </c>
      <c r="L143" s="135" t="str">
        <f>IF(B143="","",IF(B143="Acquisto",-(J143+N(G143)),J143-N(G143)-K143))</f>
        <v/>
      </c>
      <c r="M143" s="127" t="str">
        <f>IF(B143="","",IF(ISNA(MATCH(C143,ETF!$A$7:$A$21,0)),"ETF?",IF(NOT(ISNUMBER(A143)),"Data?",IF(AND(B143&lt;&gt;"Dividendo",N(D143)&lt;=0),"Quote?",IF(AND(B143="Vendita",N(D143)&gt;N(Q143)+0.000001),"Quote?",IF(J143&lt;=0,"Importo?","✓"))))))</f>
        <v/>
      </c>
      <c r="N143" t="str">
        <f>IF(OR(B143="Acquisto",B143="Vendita"),COUNTIFS($C$5:C143,C143,$B$5:B143,"Acquisto")+COUNTIFS($C$5:C143,C143,$B$5:B143,"Vendita"),"")</f>
        <v/>
      </c>
      <c r="O143" t="str">
        <f>IF(N143="","",C143&amp;"|"&amp;N143)</f>
        <v/>
      </c>
      <c r="P143" t="str">
        <f>IF(N143="","",IF(N143=1,0,MATCH(C143&amp;"|"&amp;(N143-1),$O$5:$O$1004,0)))</f>
        <v/>
      </c>
      <c r="Q143" t="str">
        <f>IF(N143="","",IF(P143=0,SUMIFS(Calcoli!$C$7:$C$21,Calcoli!$A$7:$A$21,C143),INDEX($S$5:$S$1004,P143)))</f>
        <v/>
      </c>
      <c r="R143" t="str">
        <f>IF(N143="","",IF(P143=0,SUMIFS(Calcoli!$D$7:$D$21,Calcoli!$A$7:$A$21,C143),INDEX($T$5:$T$1004,P143)))</f>
        <v/>
      </c>
      <c r="S143" t="str">
        <f>IF(N143="","",IF(B143="Acquisto",Q143+N(D143),MAX(0,Q143-N(D143))))</f>
        <v/>
      </c>
      <c r="T143" t="str">
        <f>IF(N143="","",IF(B143="Acquisto",R143+J143+N(G143),IF(Q143&lt;=0,0,R143*(1-MIN(1,N(D143)/Q143)))))</f>
        <v/>
      </c>
      <c r="U143" t="str">
        <f>IF(B143&lt;&gt;"Vendita","",J143-N(G143)-IF(Q143&lt;=0,0,R143*MIN(1,N(D143)/Q143)))</f>
        <v/>
      </c>
      <c r="V143" t="str">
        <f>IF(B143&lt;&gt;"Dividendo","",IF(Calcoli!$B$251=1,J143,L143))</f>
        <v/>
      </c>
      <c r="W143" t="str">
        <f>IF(AND(V143&lt;&gt;"",ISNUMBER(A143)),A143,"")</f>
        <v/>
      </c>
    </row>
    <row r="144">
      <c r="A144" s="134" t="n"/>
      <c r="B144" s="116" t="n"/>
      <c r="C144" s="116" t="n"/>
      <c r="D144" s="121" t="n"/>
      <c r="E144" s="120" t="n"/>
      <c r="F144" s="120" t="n"/>
      <c r="G144" s="120" t="n"/>
      <c r="H144" s="120" t="n"/>
      <c r="I144" s="117" t="n"/>
      <c r="J144" s="123" t="str">
        <f>IF(B144="","",IF(F144&lt;&gt;"",N(F144),ROUND(N(D144)*N(E144),2)))</f>
        <v/>
      </c>
      <c r="K144" s="123" t="str">
        <f>IF(B144="","",IF(H144&lt;&gt;"",N(H144),IF(B144="Dividendo",ROUND(J144*IFERROR(INDEX(Calcoli!$V$7:$V$21,MATCH(C144,Calcoli!$A$7:$A$21,0)),0.26),2),IF(B144="Vendita",ROUND(MAX(0,U144)*IFERROR(INDEX(Calcoli!$V$7:$V$21,MATCH(C144,Calcoli!$A$7:$A$21,0)),0.26),2),0))))</f>
        <v/>
      </c>
      <c r="L144" s="135" t="str">
        <f>IF(B144="","",IF(B144="Acquisto",-(J144+N(G144)),J144-N(G144)-K144))</f>
        <v/>
      </c>
      <c r="M144" s="127" t="str">
        <f>IF(B144="","",IF(ISNA(MATCH(C144,ETF!$A$7:$A$21,0)),"ETF?",IF(NOT(ISNUMBER(A144)),"Data?",IF(AND(B144&lt;&gt;"Dividendo",N(D144)&lt;=0),"Quote?",IF(AND(B144="Vendita",N(D144)&gt;N(Q144)+0.000001),"Quote?",IF(J144&lt;=0,"Importo?","✓"))))))</f>
        <v/>
      </c>
      <c r="N144" t="str">
        <f>IF(OR(B144="Acquisto",B144="Vendita"),COUNTIFS($C$5:C144,C144,$B$5:B144,"Acquisto")+COUNTIFS($C$5:C144,C144,$B$5:B144,"Vendita"),"")</f>
        <v/>
      </c>
      <c r="O144" t="str">
        <f>IF(N144="","",C144&amp;"|"&amp;N144)</f>
        <v/>
      </c>
      <c r="P144" t="str">
        <f>IF(N144="","",IF(N144=1,0,MATCH(C144&amp;"|"&amp;(N144-1),$O$5:$O$1004,0)))</f>
        <v/>
      </c>
      <c r="Q144" t="str">
        <f>IF(N144="","",IF(P144=0,SUMIFS(Calcoli!$C$7:$C$21,Calcoli!$A$7:$A$21,C144),INDEX($S$5:$S$1004,P144)))</f>
        <v/>
      </c>
      <c r="R144" t="str">
        <f>IF(N144="","",IF(P144=0,SUMIFS(Calcoli!$D$7:$D$21,Calcoli!$A$7:$A$21,C144),INDEX($T$5:$T$1004,P144)))</f>
        <v/>
      </c>
      <c r="S144" t="str">
        <f>IF(N144="","",IF(B144="Acquisto",Q144+N(D144),MAX(0,Q144-N(D144))))</f>
        <v/>
      </c>
      <c r="T144" t="str">
        <f>IF(N144="","",IF(B144="Acquisto",R144+J144+N(G144),IF(Q144&lt;=0,0,R144*(1-MIN(1,N(D144)/Q144)))))</f>
        <v/>
      </c>
      <c r="U144" t="str">
        <f>IF(B144&lt;&gt;"Vendita","",J144-N(G144)-IF(Q144&lt;=0,0,R144*MIN(1,N(D144)/Q144)))</f>
        <v/>
      </c>
      <c r="V144" t="str">
        <f>IF(B144&lt;&gt;"Dividendo","",IF(Calcoli!$B$251=1,J144,L144))</f>
        <v/>
      </c>
      <c r="W144" t="str">
        <f>IF(AND(V144&lt;&gt;"",ISNUMBER(A144)),A144,"")</f>
        <v/>
      </c>
    </row>
    <row r="145">
      <c r="A145" s="134" t="n"/>
      <c r="B145" s="116" t="n"/>
      <c r="C145" s="116" t="n"/>
      <c r="D145" s="121" t="n"/>
      <c r="E145" s="120" t="n"/>
      <c r="F145" s="120" t="n"/>
      <c r="G145" s="120" t="n"/>
      <c r="H145" s="120" t="n"/>
      <c r="I145" s="117" t="n"/>
      <c r="J145" s="123" t="str">
        <f>IF(B145="","",IF(F145&lt;&gt;"",N(F145),ROUND(N(D145)*N(E145),2)))</f>
        <v/>
      </c>
      <c r="K145" s="123" t="str">
        <f>IF(B145="","",IF(H145&lt;&gt;"",N(H145),IF(B145="Dividendo",ROUND(J145*IFERROR(INDEX(Calcoli!$V$7:$V$21,MATCH(C145,Calcoli!$A$7:$A$21,0)),0.26),2),IF(B145="Vendita",ROUND(MAX(0,U145)*IFERROR(INDEX(Calcoli!$V$7:$V$21,MATCH(C145,Calcoli!$A$7:$A$21,0)),0.26),2),0))))</f>
        <v/>
      </c>
      <c r="L145" s="135" t="str">
        <f>IF(B145="","",IF(B145="Acquisto",-(J145+N(G145)),J145-N(G145)-K145))</f>
        <v/>
      </c>
      <c r="M145" s="127" t="str">
        <f>IF(B145="","",IF(ISNA(MATCH(C145,ETF!$A$7:$A$21,0)),"ETF?",IF(NOT(ISNUMBER(A145)),"Data?",IF(AND(B145&lt;&gt;"Dividendo",N(D145)&lt;=0),"Quote?",IF(AND(B145="Vendita",N(D145)&gt;N(Q145)+0.000001),"Quote?",IF(J145&lt;=0,"Importo?","✓"))))))</f>
        <v/>
      </c>
      <c r="N145" t="str">
        <f>IF(OR(B145="Acquisto",B145="Vendita"),COUNTIFS($C$5:C145,C145,$B$5:B145,"Acquisto")+COUNTIFS($C$5:C145,C145,$B$5:B145,"Vendita"),"")</f>
        <v/>
      </c>
      <c r="O145" t="str">
        <f>IF(N145="","",C145&amp;"|"&amp;N145)</f>
        <v/>
      </c>
      <c r="P145" t="str">
        <f>IF(N145="","",IF(N145=1,0,MATCH(C145&amp;"|"&amp;(N145-1),$O$5:$O$1004,0)))</f>
        <v/>
      </c>
      <c r="Q145" t="str">
        <f>IF(N145="","",IF(P145=0,SUMIFS(Calcoli!$C$7:$C$21,Calcoli!$A$7:$A$21,C145),INDEX($S$5:$S$1004,P145)))</f>
        <v/>
      </c>
      <c r="R145" t="str">
        <f>IF(N145="","",IF(P145=0,SUMIFS(Calcoli!$D$7:$D$21,Calcoli!$A$7:$A$21,C145),INDEX($T$5:$T$1004,P145)))</f>
        <v/>
      </c>
      <c r="S145" t="str">
        <f>IF(N145="","",IF(B145="Acquisto",Q145+N(D145),MAX(0,Q145-N(D145))))</f>
        <v/>
      </c>
      <c r="T145" t="str">
        <f>IF(N145="","",IF(B145="Acquisto",R145+J145+N(G145),IF(Q145&lt;=0,0,R145*(1-MIN(1,N(D145)/Q145)))))</f>
        <v/>
      </c>
      <c r="U145" t="str">
        <f>IF(B145&lt;&gt;"Vendita","",J145-N(G145)-IF(Q145&lt;=0,0,R145*MIN(1,N(D145)/Q145)))</f>
        <v/>
      </c>
      <c r="V145" t="str">
        <f>IF(B145&lt;&gt;"Dividendo","",IF(Calcoli!$B$251=1,J145,L145))</f>
        <v/>
      </c>
      <c r="W145" t="str">
        <f>IF(AND(V145&lt;&gt;"",ISNUMBER(A145)),A145,"")</f>
        <v/>
      </c>
    </row>
    <row r="146">
      <c r="A146" s="134" t="n"/>
      <c r="B146" s="116" t="n"/>
      <c r="C146" s="116" t="n"/>
      <c r="D146" s="121" t="n"/>
      <c r="E146" s="120" t="n"/>
      <c r="F146" s="120" t="n"/>
      <c r="G146" s="120" t="n"/>
      <c r="H146" s="120" t="n"/>
      <c r="I146" s="117" t="n"/>
      <c r="J146" s="123" t="str">
        <f>IF(B146="","",IF(F146&lt;&gt;"",N(F146),ROUND(N(D146)*N(E146),2)))</f>
        <v/>
      </c>
      <c r="K146" s="123" t="str">
        <f>IF(B146="","",IF(H146&lt;&gt;"",N(H146),IF(B146="Dividendo",ROUND(J146*IFERROR(INDEX(Calcoli!$V$7:$V$21,MATCH(C146,Calcoli!$A$7:$A$21,0)),0.26),2),IF(B146="Vendita",ROUND(MAX(0,U146)*IFERROR(INDEX(Calcoli!$V$7:$V$21,MATCH(C146,Calcoli!$A$7:$A$21,0)),0.26),2),0))))</f>
        <v/>
      </c>
      <c r="L146" s="135" t="str">
        <f>IF(B146="","",IF(B146="Acquisto",-(J146+N(G146)),J146-N(G146)-K146))</f>
        <v/>
      </c>
      <c r="M146" s="127" t="str">
        <f>IF(B146="","",IF(ISNA(MATCH(C146,ETF!$A$7:$A$21,0)),"ETF?",IF(NOT(ISNUMBER(A146)),"Data?",IF(AND(B146&lt;&gt;"Dividendo",N(D146)&lt;=0),"Quote?",IF(AND(B146="Vendita",N(D146)&gt;N(Q146)+0.000001),"Quote?",IF(J146&lt;=0,"Importo?","✓"))))))</f>
        <v/>
      </c>
      <c r="N146" t="str">
        <f>IF(OR(B146="Acquisto",B146="Vendita"),COUNTIFS($C$5:C146,C146,$B$5:B146,"Acquisto")+COUNTIFS($C$5:C146,C146,$B$5:B146,"Vendita"),"")</f>
        <v/>
      </c>
      <c r="O146" t="str">
        <f>IF(N146="","",C146&amp;"|"&amp;N146)</f>
        <v/>
      </c>
      <c r="P146" t="str">
        <f>IF(N146="","",IF(N146=1,0,MATCH(C146&amp;"|"&amp;(N146-1),$O$5:$O$1004,0)))</f>
        <v/>
      </c>
      <c r="Q146" t="str">
        <f>IF(N146="","",IF(P146=0,SUMIFS(Calcoli!$C$7:$C$21,Calcoli!$A$7:$A$21,C146),INDEX($S$5:$S$1004,P146)))</f>
        <v/>
      </c>
      <c r="R146" t="str">
        <f>IF(N146="","",IF(P146=0,SUMIFS(Calcoli!$D$7:$D$21,Calcoli!$A$7:$A$21,C146),INDEX($T$5:$T$1004,P146)))</f>
        <v/>
      </c>
      <c r="S146" t="str">
        <f>IF(N146="","",IF(B146="Acquisto",Q146+N(D146),MAX(0,Q146-N(D146))))</f>
        <v/>
      </c>
      <c r="T146" t="str">
        <f>IF(N146="","",IF(B146="Acquisto",R146+J146+N(G146),IF(Q146&lt;=0,0,R146*(1-MIN(1,N(D146)/Q146)))))</f>
        <v/>
      </c>
      <c r="U146" t="str">
        <f>IF(B146&lt;&gt;"Vendita","",J146-N(G146)-IF(Q146&lt;=0,0,R146*MIN(1,N(D146)/Q146)))</f>
        <v/>
      </c>
      <c r="V146" t="str">
        <f>IF(B146&lt;&gt;"Dividendo","",IF(Calcoli!$B$251=1,J146,L146))</f>
        <v/>
      </c>
      <c r="W146" t="str">
        <f>IF(AND(V146&lt;&gt;"",ISNUMBER(A146)),A146,"")</f>
        <v/>
      </c>
    </row>
    <row r="147">
      <c r="A147" s="134" t="n"/>
      <c r="B147" s="116" t="n"/>
      <c r="C147" s="116" t="n"/>
      <c r="D147" s="121" t="n"/>
      <c r="E147" s="120" t="n"/>
      <c r="F147" s="120" t="n"/>
      <c r="G147" s="120" t="n"/>
      <c r="H147" s="120" t="n"/>
      <c r="I147" s="117" t="n"/>
      <c r="J147" s="123" t="str">
        <f>IF(B147="","",IF(F147&lt;&gt;"",N(F147),ROUND(N(D147)*N(E147),2)))</f>
        <v/>
      </c>
      <c r="K147" s="123" t="str">
        <f>IF(B147="","",IF(H147&lt;&gt;"",N(H147),IF(B147="Dividendo",ROUND(J147*IFERROR(INDEX(Calcoli!$V$7:$V$21,MATCH(C147,Calcoli!$A$7:$A$21,0)),0.26),2),IF(B147="Vendita",ROUND(MAX(0,U147)*IFERROR(INDEX(Calcoli!$V$7:$V$21,MATCH(C147,Calcoli!$A$7:$A$21,0)),0.26),2),0))))</f>
        <v/>
      </c>
      <c r="L147" s="135" t="str">
        <f>IF(B147="","",IF(B147="Acquisto",-(J147+N(G147)),J147-N(G147)-K147))</f>
        <v/>
      </c>
      <c r="M147" s="127" t="str">
        <f>IF(B147="","",IF(ISNA(MATCH(C147,ETF!$A$7:$A$21,0)),"ETF?",IF(NOT(ISNUMBER(A147)),"Data?",IF(AND(B147&lt;&gt;"Dividendo",N(D147)&lt;=0),"Quote?",IF(AND(B147="Vendita",N(D147)&gt;N(Q147)+0.000001),"Quote?",IF(J147&lt;=0,"Importo?","✓"))))))</f>
        <v/>
      </c>
      <c r="N147" t="str">
        <f>IF(OR(B147="Acquisto",B147="Vendita"),COUNTIFS($C$5:C147,C147,$B$5:B147,"Acquisto")+COUNTIFS($C$5:C147,C147,$B$5:B147,"Vendita"),"")</f>
        <v/>
      </c>
      <c r="O147" t="str">
        <f>IF(N147="","",C147&amp;"|"&amp;N147)</f>
        <v/>
      </c>
      <c r="P147" t="str">
        <f>IF(N147="","",IF(N147=1,0,MATCH(C147&amp;"|"&amp;(N147-1),$O$5:$O$1004,0)))</f>
        <v/>
      </c>
      <c r="Q147" t="str">
        <f>IF(N147="","",IF(P147=0,SUMIFS(Calcoli!$C$7:$C$21,Calcoli!$A$7:$A$21,C147),INDEX($S$5:$S$1004,P147)))</f>
        <v/>
      </c>
      <c r="R147" t="str">
        <f>IF(N147="","",IF(P147=0,SUMIFS(Calcoli!$D$7:$D$21,Calcoli!$A$7:$A$21,C147),INDEX($T$5:$T$1004,P147)))</f>
        <v/>
      </c>
      <c r="S147" t="str">
        <f>IF(N147="","",IF(B147="Acquisto",Q147+N(D147),MAX(0,Q147-N(D147))))</f>
        <v/>
      </c>
      <c r="T147" t="str">
        <f>IF(N147="","",IF(B147="Acquisto",R147+J147+N(G147),IF(Q147&lt;=0,0,R147*(1-MIN(1,N(D147)/Q147)))))</f>
        <v/>
      </c>
      <c r="U147" t="str">
        <f>IF(B147&lt;&gt;"Vendita","",J147-N(G147)-IF(Q147&lt;=0,0,R147*MIN(1,N(D147)/Q147)))</f>
        <v/>
      </c>
      <c r="V147" t="str">
        <f>IF(B147&lt;&gt;"Dividendo","",IF(Calcoli!$B$251=1,J147,L147))</f>
        <v/>
      </c>
      <c r="W147" t="str">
        <f>IF(AND(V147&lt;&gt;"",ISNUMBER(A147)),A147,"")</f>
        <v/>
      </c>
    </row>
    <row r="148">
      <c r="A148" s="134" t="n"/>
      <c r="B148" s="116" t="n"/>
      <c r="C148" s="116" t="n"/>
      <c r="D148" s="121" t="n"/>
      <c r="E148" s="120" t="n"/>
      <c r="F148" s="120" t="n"/>
      <c r="G148" s="120" t="n"/>
      <c r="H148" s="120" t="n"/>
      <c r="I148" s="117" t="n"/>
      <c r="J148" s="123" t="str">
        <f>IF(B148="","",IF(F148&lt;&gt;"",N(F148),ROUND(N(D148)*N(E148),2)))</f>
        <v/>
      </c>
      <c r="K148" s="123" t="str">
        <f>IF(B148="","",IF(H148&lt;&gt;"",N(H148),IF(B148="Dividendo",ROUND(J148*IFERROR(INDEX(Calcoli!$V$7:$V$21,MATCH(C148,Calcoli!$A$7:$A$21,0)),0.26),2),IF(B148="Vendita",ROUND(MAX(0,U148)*IFERROR(INDEX(Calcoli!$V$7:$V$21,MATCH(C148,Calcoli!$A$7:$A$21,0)),0.26),2),0))))</f>
        <v/>
      </c>
      <c r="L148" s="135" t="str">
        <f>IF(B148="","",IF(B148="Acquisto",-(J148+N(G148)),J148-N(G148)-K148))</f>
        <v/>
      </c>
      <c r="M148" s="127" t="str">
        <f>IF(B148="","",IF(ISNA(MATCH(C148,ETF!$A$7:$A$21,0)),"ETF?",IF(NOT(ISNUMBER(A148)),"Data?",IF(AND(B148&lt;&gt;"Dividendo",N(D148)&lt;=0),"Quote?",IF(AND(B148="Vendita",N(D148)&gt;N(Q148)+0.000001),"Quote?",IF(J148&lt;=0,"Importo?","✓"))))))</f>
        <v/>
      </c>
      <c r="N148" t="str">
        <f>IF(OR(B148="Acquisto",B148="Vendita"),COUNTIFS($C$5:C148,C148,$B$5:B148,"Acquisto")+COUNTIFS($C$5:C148,C148,$B$5:B148,"Vendita"),"")</f>
        <v/>
      </c>
      <c r="O148" t="str">
        <f>IF(N148="","",C148&amp;"|"&amp;N148)</f>
        <v/>
      </c>
      <c r="P148" t="str">
        <f>IF(N148="","",IF(N148=1,0,MATCH(C148&amp;"|"&amp;(N148-1),$O$5:$O$1004,0)))</f>
        <v/>
      </c>
      <c r="Q148" t="str">
        <f>IF(N148="","",IF(P148=0,SUMIFS(Calcoli!$C$7:$C$21,Calcoli!$A$7:$A$21,C148),INDEX($S$5:$S$1004,P148)))</f>
        <v/>
      </c>
      <c r="R148" t="str">
        <f>IF(N148="","",IF(P148=0,SUMIFS(Calcoli!$D$7:$D$21,Calcoli!$A$7:$A$21,C148),INDEX($T$5:$T$1004,P148)))</f>
        <v/>
      </c>
      <c r="S148" t="str">
        <f>IF(N148="","",IF(B148="Acquisto",Q148+N(D148),MAX(0,Q148-N(D148))))</f>
        <v/>
      </c>
      <c r="T148" t="str">
        <f>IF(N148="","",IF(B148="Acquisto",R148+J148+N(G148),IF(Q148&lt;=0,0,R148*(1-MIN(1,N(D148)/Q148)))))</f>
        <v/>
      </c>
      <c r="U148" t="str">
        <f>IF(B148&lt;&gt;"Vendita","",J148-N(G148)-IF(Q148&lt;=0,0,R148*MIN(1,N(D148)/Q148)))</f>
        <v/>
      </c>
      <c r="V148" t="str">
        <f>IF(B148&lt;&gt;"Dividendo","",IF(Calcoli!$B$251=1,J148,L148))</f>
        <v/>
      </c>
      <c r="W148" t="str">
        <f>IF(AND(V148&lt;&gt;"",ISNUMBER(A148)),A148,"")</f>
        <v/>
      </c>
    </row>
    <row r="149">
      <c r="A149" s="134" t="n"/>
      <c r="B149" s="116" t="n"/>
      <c r="C149" s="116" t="n"/>
      <c r="D149" s="121" t="n"/>
      <c r="E149" s="120" t="n"/>
      <c r="F149" s="120" t="n"/>
      <c r="G149" s="120" t="n"/>
      <c r="H149" s="120" t="n"/>
      <c r="I149" s="117" t="n"/>
      <c r="J149" s="123" t="str">
        <f>IF(B149="","",IF(F149&lt;&gt;"",N(F149),ROUND(N(D149)*N(E149),2)))</f>
        <v/>
      </c>
      <c r="K149" s="123" t="str">
        <f>IF(B149="","",IF(H149&lt;&gt;"",N(H149),IF(B149="Dividendo",ROUND(J149*IFERROR(INDEX(Calcoli!$V$7:$V$21,MATCH(C149,Calcoli!$A$7:$A$21,0)),0.26),2),IF(B149="Vendita",ROUND(MAX(0,U149)*IFERROR(INDEX(Calcoli!$V$7:$V$21,MATCH(C149,Calcoli!$A$7:$A$21,0)),0.26),2),0))))</f>
        <v/>
      </c>
      <c r="L149" s="135" t="str">
        <f>IF(B149="","",IF(B149="Acquisto",-(J149+N(G149)),J149-N(G149)-K149))</f>
        <v/>
      </c>
      <c r="M149" s="127" t="str">
        <f>IF(B149="","",IF(ISNA(MATCH(C149,ETF!$A$7:$A$21,0)),"ETF?",IF(NOT(ISNUMBER(A149)),"Data?",IF(AND(B149&lt;&gt;"Dividendo",N(D149)&lt;=0),"Quote?",IF(AND(B149="Vendita",N(D149)&gt;N(Q149)+0.000001),"Quote?",IF(J149&lt;=0,"Importo?","✓"))))))</f>
        <v/>
      </c>
      <c r="N149" t="str">
        <f>IF(OR(B149="Acquisto",B149="Vendita"),COUNTIFS($C$5:C149,C149,$B$5:B149,"Acquisto")+COUNTIFS($C$5:C149,C149,$B$5:B149,"Vendita"),"")</f>
        <v/>
      </c>
      <c r="O149" t="str">
        <f>IF(N149="","",C149&amp;"|"&amp;N149)</f>
        <v/>
      </c>
      <c r="P149" t="str">
        <f>IF(N149="","",IF(N149=1,0,MATCH(C149&amp;"|"&amp;(N149-1),$O$5:$O$1004,0)))</f>
        <v/>
      </c>
      <c r="Q149" t="str">
        <f>IF(N149="","",IF(P149=0,SUMIFS(Calcoli!$C$7:$C$21,Calcoli!$A$7:$A$21,C149),INDEX($S$5:$S$1004,P149)))</f>
        <v/>
      </c>
      <c r="R149" t="str">
        <f>IF(N149="","",IF(P149=0,SUMIFS(Calcoli!$D$7:$D$21,Calcoli!$A$7:$A$21,C149),INDEX($T$5:$T$1004,P149)))</f>
        <v/>
      </c>
      <c r="S149" t="str">
        <f>IF(N149="","",IF(B149="Acquisto",Q149+N(D149),MAX(0,Q149-N(D149))))</f>
        <v/>
      </c>
      <c r="T149" t="str">
        <f>IF(N149="","",IF(B149="Acquisto",R149+J149+N(G149),IF(Q149&lt;=0,0,R149*(1-MIN(1,N(D149)/Q149)))))</f>
        <v/>
      </c>
      <c r="U149" t="str">
        <f>IF(B149&lt;&gt;"Vendita","",J149-N(G149)-IF(Q149&lt;=0,0,R149*MIN(1,N(D149)/Q149)))</f>
        <v/>
      </c>
      <c r="V149" t="str">
        <f>IF(B149&lt;&gt;"Dividendo","",IF(Calcoli!$B$251=1,J149,L149))</f>
        <v/>
      </c>
      <c r="W149" t="str">
        <f>IF(AND(V149&lt;&gt;"",ISNUMBER(A149)),A149,"")</f>
        <v/>
      </c>
    </row>
    <row r="150">
      <c r="A150" s="134" t="n"/>
      <c r="B150" s="116" t="n"/>
      <c r="C150" s="116" t="n"/>
      <c r="D150" s="121" t="n"/>
      <c r="E150" s="120" t="n"/>
      <c r="F150" s="120" t="n"/>
      <c r="G150" s="120" t="n"/>
      <c r="H150" s="120" t="n"/>
      <c r="I150" s="117" t="n"/>
      <c r="J150" s="123" t="str">
        <f>IF(B150="","",IF(F150&lt;&gt;"",N(F150),ROUND(N(D150)*N(E150),2)))</f>
        <v/>
      </c>
      <c r="K150" s="123" t="str">
        <f>IF(B150="","",IF(H150&lt;&gt;"",N(H150),IF(B150="Dividendo",ROUND(J150*IFERROR(INDEX(Calcoli!$V$7:$V$21,MATCH(C150,Calcoli!$A$7:$A$21,0)),0.26),2),IF(B150="Vendita",ROUND(MAX(0,U150)*IFERROR(INDEX(Calcoli!$V$7:$V$21,MATCH(C150,Calcoli!$A$7:$A$21,0)),0.26),2),0))))</f>
        <v/>
      </c>
      <c r="L150" s="135" t="str">
        <f>IF(B150="","",IF(B150="Acquisto",-(J150+N(G150)),J150-N(G150)-K150))</f>
        <v/>
      </c>
      <c r="M150" s="127" t="str">
        <f>IF(B150="","",IF(ISNA(MATCH(C150,ETF!$A$7:$A$21,0)),"ETF?",IF(NOT(ISNUMBER(A150)),"Data?",IF(AND(B150&lt;&gt;"Dividendo",N(D150)&lt;=0),"Quote?",IF(AND(B150="Vendita",N(D150)&gt;N(Q150)+0.000001),"Quote?",IF(J150&lt;=0,"Importo?","✓"))))))</f>
        <v/>
      </c>
      <c r="N150" t="str">
        <f>IF(OR(B150="Acquisto",B150="Vendita"),COUNTIFS($C$5:C150,C150,$B$5:B150,"Acquisto")+COUNTIFS($C$5:C150,C150,$B$5:B150,"Vendita"),"")</f>
        <v/>
      </c>
      <c r="O150" t="str">
        <f>IF(N150="","",C150&amp;"|"&amp;N150)</f>
        <v/>
      </c>
      <c r="P150" t="str">
        <f>IF(N150="","",IF(N150=1,0,MATCH(C150&amp;"|"&amp;(N150-1),$O$5:$O$1004,0)))</f>
        <v/>
      </c>
      <c r="Q150" t="str">
        <f>IF(N150="","",IF(P150=0,SUMIFS(Calcoli!$C$7:$C$21,Calcoli!$A$7:$A$21,C150),INDEX($S$5:$S$1004,P150)))</f>
        <v/>
      </c>
      <c r="R150" t="str">
        <f>IF(N150="","",IF(P150=0,SUMIFS(Calcoli!$D$7:$D$21,Calcoli!$A$7:$A$21,C150),INDEX($T$5:$T$1004,P150)))</f>
        <v/>
      </c>
      <c r="S150" t="str">
        <f>IF(N150="","",IF(B150="Acquisto",Q150+N(D150),MAX(0,Q150-N(D150))))</f>
        <v/>
      </c>
      <c r="T150" t="str">
        <f>IF(N150="","",IF(B150="Acquisto",R150+J150+N(G150),IF(Q150&lt;=0,0,R150*(1-MIN(1,N(D150)/Q150)))))</f>
        <v/>
      </c>
      <c r="U150" t="str">
        <f>IF(B150&lt;&gt;"Vendita","",J150-N(G150)-IF(Q150&lt;=0,0,R150*MIN(1,N(D150)/Q150)))</f>
        <v/>
      </c>
      <c r="V150" t="str">
        <f>IF(B150&lt;&gt;"Dividendo","",IF(Calcoli!$B$251=1,J150,L150))</f>
        <v/>
      </c>
      <c r="W150" t="str">
        <f>IF(AND(V150&lt;&gt;"",ISNUMBER(A150)),A150,"")</f>
        <v/>
      </c>
    </row>
    <row r="151">
      <c r="A151" s="134" t="n"/>
      <c r="B151" s="116" t="n"/>
      <c r="C151" s="116" t="n"/>
      <c r="D151" s="121" t="n"/>
      <c r="E151" s="120" t="n"/>
      <c r="F151" s="120" t="n"/>
      <c r="G151" s="120" t="n"/>
      <c r="H151" s="120" t="n"/>
      <c r="I151" s="117" t="n"/>
      <c r="J151" s="123" t="str">
        <f>IF(B151="","",IF(F151&lt;&gt;"",N(F151),ROUND(N(D151)*N(E151),2)))</f>
        <v/>
      </c>
      <c r="K151" s="123" t="str">
        <f>IF(B151="","",IF(H151&lt;&gt;"",N(H151),IF(B151="Dividendo",ROUND(J151*IFERROR(INDEX(Calcoli!$V$7:$V$21,MATCH(C151,Calcoli!$A$7:$A$21,0)),0.26),2),IF(B151="Vendita",ROUND(MAX(0,U151)*IFERROR(INDEX(Calcoli!$V$7:$V$21,MATCH(C151,Calcoli!$A$7:$A$21,0)),0.26),2),0))))</f>
        <v/>
      </c>
      <c r="L151" s="135" t="str">
        <f>IF(B151="","",IF(B151="Acquisto",-(J151+N(G151)),J151-N(G151)-K151))</f>
        <v/>
      </c>
      <c r="M151" s="127" t="str">
        <f>IF(B151="","",IF(ISNA(MATCH(C151,ETF!$A$7:$A$21,0)),"ETF?",IF(NOT(ISNUMBER(A151)),"Data?",IF(AND(B151&lt;&gt;"Dividendo",N(D151)&lt;=0),"Quote?",IF(AND(B151="Vendita",N(D151)&gt;N(Q151)+0.000001),"Quote?",IF(J151&lt;=0,"Importo?","✓"))))))</f>
        <v/>
      </c>
      <c r="N151" t="str">
        <f>IF(OR(B151="Acquisto",B151="Vendita"),COUNTIFS($C$5:C151,C151,$B$5:B151,"Acquisto")+COUNTIFS($C$5:C151,C151,$B$5:B151,"Vendita"),"")</f>
        <v/>
      </c>
      <c r="O151" t="str">
        <f>IF(N151="","",C151&amp;"|"&amp;N151)</f>
        <v/>
      </c>
      <c r="P151" t="str">
        <f>IF(N151="","",IF(N151=1,0,MATCH(C151&amp;"|"&amp;(N151-1),$O$5:$O$1004,0)))</f>
        <v/>
      </c>
      <c r="Q151" t="str">
        <f>IF(N151="","",IF(P151=0,SUMIFS(Calcoli!$C$7:$C$21,Calcoli!$A$7:$A$21,C151),INDEX($S$5:$S$1004,P151)))</f>
        <v/>
      </c>
      <c r="R151" t="str">
        <f>IF(N151="","",IF(P151=0,SUMIFS(Calcoli!$D$7:$D$21,Calcoli!$A$7:$A$21,C151),INDEX($T$5:$T$1004,P151)))</f>
        <v/>
      </c>
      <c r="S151" t="str">
        <f>IF(N151="","",IF(B151="Acquisto",Q151+N(D151),MAX(0,Q151-N(D151))))</f>
        <v/>
      </c>
      <c r="T151" t="str">
        <f>IF(N151="","",IF(B151="Acquisto",R151+J151+N(G151),IF(Q151&lt;=0,0,R151*(1-MIN(1,N(D151)/Q151)))))</f>
        <v/>
      </c>
      <c r="U151" t="str">
        <f>IF(B151&lt;&gt;"Vendita","",J151-N(G151)-IF(Q151&lt;=0,0,R151*MIN(1,N(D151)/Q151)))</f>
        <v/>
      </c>
      <c r="V151" t="str">
        <f>IF(B151&lt;&gt;"Dividendo","",IF(Calcoli!$B$251=1,J151,L151))</f>
        <v/>
      </c>
      <c r="W151" t="str">
        <f>IF(AND(V151&lt;&gt;"",ISNUMBER(A151)),A151,"")</f>
        <v/>
      </c>
    </row>
    <row r="152">
      <c r="A152" s="134" t="n"/>
      <c r="B152" s="116" t="n"/>
      <c r="C152" s="116" t="n"/>
      <c r="D152" s="121" t="n"/>
      <c r="E152" s="120" t="n"/>
      <c r="F152" s="120" t="n"/>
      <c r="G152" s="120" t="n"/>
      <c r="H152" s="120" t="n"/>
      <c r="I152" s="117" t="n"/>
      <c r="J152" s="123" t="str">
        <f>IF(B152="","",IF(F152&lt;&gt;"",N(F152),ROUND(N(D152)*N(E152),2)))</f>
        <v/>
      </c>
      <c r="K152" s="123" t="str">
        <f>IF(B152="","",IF(H152&lt;&gt;"",N(H152),IF(B152="Dividendo",ROUND(J152*IFERROR(INDEX(Calcoli!$V$7:$V$21,MATCH(C152,Calcoli!$A$7:$A$21,0)),0.26),2),IF(B152="Vendita",ROUND(MAX(0,U152)*IFERROR(INDEX(Calcoli!$V$7:$V$21,MATCH(C152,Calcoli!$A$7:$A$21,0)),0.26),2),0))))</f>
        <v/>
      </c>
      <c r="L152" s="135" t="str">
        <f>IF(B152="","",IF(B152="Acquisto",-(J152+N(G152)),J152-N(G152)-K152))</f>
        <v/>
      </c>
      <c r="M152" s="127" t="str">
        <f>IF(B152="","",IF(ISNA(MATCH(C152,ETF!$A$7:$A$21,0)),"ETF?",IF(NOT(ISNUMBER(A152)),"Data?",IF(AND(B152&lt;&gt;"Dividendo",N(D152)&lt;=0),"Quote?",IF(AND(B152="Vendita",N(D152)&gt;N(Q152)+0.000001),"Quote?",IF(J152&lt;=0,"Importo?","✓"))))))</f>
        <v/>
      </c>
      <c r="N152" t="str">
        <f>IF(OR(B152="Acquisto",B152="Vendita"),COUNTIFS($C$5:C152,C152,$B$5:B152,"Acquisto")+COUNTIFS($C$5:C152,C152,$B$5:B152,"Vendita"),"")</f>
        <v/>
      </c>
      <c r="O152" t="str">
        <f>IF(N152="","",C152&amp;"|"&amp;N152)</f>
        <v/>
      </c>
      <c r="P152" t="str">
        <f>IF(N152="","",IF(N152=1,0,MATCH(C152&amp;"|"&amp;(N152-1),$O$5:$O$1004,0)))</f>
        <v/>
      </c>
      <c r="Q152" t="str">
        <f>IF(N152="","",IF(P152=0,SUMIFS(Calcoli!$C$7:$C$21,Calcoli!$A$7:$A$21,C152),INDEX($S$5:$S$1004,P152)))</f>
        <v/>
      </c>
      <c r="R152" t="str">
        <f>IF(N152="","",IF(P152=0,SUMIFS(Calcoli!$D$7:$D$21,Calcoli!$A$7:$A$21,C152),INDEX($T$5:$T$1004,P152)))</f>
        <v/>
      </c>
      <c r="S152" t="str">
        <f>IF(N152="","",IF(B152="Acquisto",Q152+N(D152),MAX(0,Q152-N(D152))))</f>
        <v/>
      </c>
      <c r="T152" t="str">
        <f>IF(N152="","",IF(B152="Acquisto",R152+J152+N(G152),IF(Q152&lt;=0,0,R152*(1-MIN(1,N(D152)/Q152)))))</f>
        <v/>
      </c>
      <c r="U152" t="str">
        <f>IF(B152&lt;&gt;"Vendita","",J152-N(G152)-IF(Q152&lt;=0,0,R152*MIN(1,N(D152)/Q152)))</f>
        <v/>
      </c>
      <c r="V152" t="str">
        <f>IF(B152&lt;&gt;"Dividendo","",IF(Calcoli!$B$251=1,J152,L152))</f>
        <v/>
      </c>
      <c r="W152" t="str">
        <f>IF(AND(V152&lt;&gt;"",ISNUMBER(A152)),A152,"")</f>
        <v/>
      </c>
    </row>
    <row r="153">
      <c r="A153" s="134" t="n"/>
      <c r="B153" s="116" t="n"/>
      <c r="C153" s="116" t="n"/>
      <c r="D153" s="121" t="n"/>
      <c r="E153" s="120" t="n"/>
      <c r="F153" s="120" t="n"/>
      <c r="G153" s="120" t="n"/>
      <c r="H153" s="120" t="n"/>
      <c r="I153" s="117" t="n"/>
      <c r="J153" s="123" t="str">
        <f>IF(B153="","",IF(F153&lt;&gt;"",N(F153),ROUND(N(D153)*N(E153),2)))</f>
        <v/>
      </c>
      <c r="K153" s="123" t="str">
        <f>IF(B153="","",IF(H153&lt;&gt;"",N(H153),IF(B153="Dividendo",ROUND(J153*IFERROR(INDEX(Calcoli!$V$7:$V$21,MATCH(C153,Calcoli!$A$7:$A$21,0)),0.26),2),IF(B153="Vendita",ROUND(MAX(0,U153)*IFERROR(INDEX(Calcoli!$V$7:$V$21,MATCH(C153,Calcoli!$A$7:$A$21,0)),0.26),2),0))))</f>
        <v/>
      </c>
      <c r="L153" s="135" t="str">
        <f>IF(B153="","",IF(B153="Acquisto",-(J153+N(G153)),J153-N(G153)-K153))</f>
        <v/>
      </c>
      <c r="M153" s="127" t="str">
        <f>IF(B153="","",IF(ISNA(MATCH(C153,ETF!$A$7:$A$21,0)),"ETF?",IF(NOT(ISNUMBER(A153)),"Data?",IF(AND(B153&lt;&gt;"Dividendo",N(D153)&lt;=0),"Quote?",IF(AND(B153="Vendita",N(D153)&gt;N(Q153)+0.000001),"Quote?",IF(J153&lt;=0,"Importo?","✓"))))))</f>
        <v/>
      </c>
      <c r="N153" t="str">
        <f>IF(OR(B153="Acquisto",B153="Vendita"),COUNTIFS($C$5:C153,C153,$B$5:B153,"Acquisto")+COUNTIFS($C$5:C153,C153,$B$5:B153,"Vendita"),"")</f>
        <v/>
      </c>
      <c r="O153" t="str">
        <f>IF(N153="","",C153&amp;"|"&amp;N153)</f>
        <v/>
      </c>
      <c r="P153" t="str">
        <f>IF(N153="","",IF(N153=1,0,MATCH(C153&amp;"|"&amp;(N153-1),$O$5:$O$1004,0)))</f>
        <v/>
      </c>
      <c r="Q153" t="str">
        <f>IF(N153="","",IF(P153=0,SUMIFS(Calcoli!$C$7:$C$21,Calcoli!$A$7:$A$21,C153),INDEX($S$5:$S$1004,P153)))</f>
        <v/>
      </c>
      <c r="R153" t="str">
        <f>IF(N153="","",IF(P153=0,SUMIFS(Calcoli!$D$7:$D$21,Calcoli!$A$7:$A$21,C153),INDEX($T$5:$T$1004,P153)))</f>
        <v/>
      </c>
      <c r="S153" t="str">
        <f>IF(N153="","",IF(B153="Acquisto",Q153+N(D153),MAX(0,Q153-N(D153))))</f>
        <v/>
      </c>
      <c r="T153" t="str">
        <f>IF(N153="","",IF(B153="Acquisto",R153+J153+N(G153),IF(Q153&lt;=0,0,R153*(1-MIN(1,N(D153)/Q153)))))</f>
        <v/>
      </c>
      <c r="U153" t="str">
        <f>IF(B153&lt;&gt;"Vendita","",J153-N(G153)-IF(Q153&lt;=0,0,R153*MIN(1,N(D153)/Q153)))</f>
        <v/>
      </c>
      <c r="V153" t="str">
        <f>IF(B153&lt;&gt;"Dividendo","",IF(Calcoli!$B$251=1,J153,L153))</f>
        <v/>
      </c>
      <c r="W153" t="str">
        <f>IF(AND(V153&lt;&gt;"",ISNUMBER(A153)),A153,"")</f>
        <v/>
      </c>
    </row>
    <row r="154">
      <c r="A154" s="134" t="n"/>
      <c r="B154" s="116" t="n"/>
      <c r="C154" s="116" t="n"/>
      <c r="D154" s="121" t="n"/>
      <c r="E154" s="120" t="n"/>
      <c r="F154" s="120" t="n"/>
      <c r="G154" s="120" t="n"/>
      <c r="H154" s="120" t="n"/>
      <c r="I154" s="117" t="n"/>
      <c r="J154" s="123" t="str">
        <f>IF(B154="","",IF(F154&lt;&gt;"",N(F154),ROUND(N(D154)*N(E154),2)))</f>
        <v/>
      </c>
      <c r="K154" s="123" t="str">
        <f>IF(B154="","",IF(H154&lt;&gt;"",N(H154),IF(B154="Dividendo",ROUND(J154*IFERROR(INDEX(Calcoli!$V$7:$V$21,MATCH(C154,Calcoli!$A$7:$A$21,0)),0.26),2),IF(B154="Vendita",ROUND(MAX(0,U154)*IFERROR(INDEX(Calcoli!$V$7:$V$21,MATCH(C154,Calcoli!$A$7:$A$21,0)),0.26),2),0))))</f>
        <v/>
      </c>
      <c r="L154" s="135" t="str">
        <f>IF(B154="","",IF(B154="Acquisto",-(J154+N(G154)),J154-N(G154)-K154))</f>
        <v/>
      </c>
      <c r="M154" s="127" t="str">
        <f>IF(B154="","",IF(ISNA(MATCH(C154,ETF!$A$7:$A$21,0)),"ETF?",IF(NOT(ISNUMBER(A154)),"Data?",IF(AND(B154&lt;&gt;"Dividendo",N(D154)&lt;=0),"Quote?",IF(AND(B154="Vendita",N(D154)&gt;N(Q154)+0.000001),"Quote?",IF(J154&lt;=0,"Importo?","✓"))))))</f>
        <v/>
      </c>
      <c r="N154" t="str">
        <f>IF(OR(B154="Acquisto",B154="Vendita"),COUNTIFS($C$5:C154,C154,$B$5:B154,"Acquisto")+COUNTIFS($C$5:C154,C154,$B$5:B154,"Vendita"),"")</f>
        <v/>
      </c>
      <c r="O154" t="str">
        <f>IF(N154="","",C154&amp;"|"&amp;N154)</f>
        <v/>
      </c>
      <c r="P154" t="str">
        <f>IF(N154="","",IF(N154=1,0,MATCH(C154&amp;"|"&amp;(N154-1),$O$5:$O$1004,0)))</f>
        <v/>
      </c>
      <c r="Q154" t="str">
        <f>IF(N154="","",IF(P154=0,SUMIFS(Calcoli!$C$7:$C$21,Calcoli!$A$7:$A$21,C154),INDEX($S$5:$S$1004,P154)))</f>
        <v/>
      </c>
      <c r="R154" t="str">
        <f>IF(N154="","",IF(P154=0,SUMIFS(Calcoli!$D$7:$D$21,Calcoli!$A$7:$A$21,C154),INDEX($T$5:$T$1004,P154)))</f>
        <v/>
      </c>
      <c r="S154" t="str">
        <f>IF(N154="","",IF(B154="Acquisto",Q154+N(D154),MAX(0,Q154-N(D154))))</f>
        <v/>
      </c>
      <c r="T154" t="str">
        <f>IF(N154="","",IF(B154="Acquisto",R154+J154+N(G154),IF(Q154&lt;=0,0,R154*(1-MIN(1,N(D154)/Q154)))))</f>
        <v/>
      </c>
      <c r="U154" t="str">
        <f>IF(B154&lt;&gt;"Vendita","",J154-N(G154)-IF(Q154&lt;=0,0,R154*MIN(1,N(D154)/Q154)))</f>
        <v/>
      </c>
      <c r="V154" t="str">
        <f>IF(B154&lt;&gt;"Dividendo","",IF(Calcoli!$B$251=1,J154,L154))</f>
        <v/>
      </c>
      <c r="W154" t="str">
        <f>IF(AND(V154&lt;&gt;"",ISNUMBER(A154)),A154,"")</f>
        <v/>
      </c>
    </row>
    <row r="155">
      <c r="A155" s="134" t="n"/>
      <c r="B155" s="116" t="n"/>
      <c r="C155" s="116" t="n"/>
      <c r="D155" s="121" t="n"/>
      <c r="E155" s="120" t="n"/>
      <c r="F155" s="120" t="n"/>
      <c r="G155" s="120" t="n"/>
      <c r="H155" s="120" t="n"/>
      <c r="I155" s="117" t="n"/>
      <c r="J155" s="123" t="str">
        <f>IF(B155="","",IF(F155&lt;&gt;"",N(F155),ROUND(N(D155)*N(E155),2)))</f>
        <v/>
      </c>
      <c r="K155" s="123" t="str">
        <f>IF(B155="","",IF(H155&lt;&gt;"",N(H155),IF(B155="Dividendo",ROUND(J155*IFERROR(INDEX(Calcoli!$V$7:$V$21,MATCH(C155,Calcoli!$A$7:$A$21,0)),0.26),2),IF(B155="Vendita",ROUND(MAX(0,U155)*IFERROR(INDEX(Calcoli!$V$7:$V$21,MATCH(C155,Calcoli!$A$7:$A$21,0)),0.26),2),0))))</f>
        <v/>
      </c>
      <c r="L155" s="135" t="str">
        <f>IF(B155="","",IF(B155="Acquisto",-(J155+N(G155)),J155-N(G155)-K155))</f>
        <v/>
      </c>
      <c r="M155" s="127" t="str">
        <f>IF(B155="","",IF(ISNA(MATCH(C155,ETF!$A$7:$A$21,0)),"ETF?",IF(NOT(ISNUMBER(A155)),"Data?",IF(AND(B155&lt;&gt;"Dividendo",N(D155)&lt;=0),"Quote?",IF(AND(B155="Vendita",N(D155)&gt;N(Q155)+0.000001),"Quote?",IF(J155&lt;=0,"Importo?","✓"))))))</f>
        <v/>
      </c>
      <c r="N155" t="str">
        <f>IF(OR(B155="Acquisto",B155="Vendita"),COUNTIFS($C$5:C155,C155,$B$5:B155,"Acquisto")+COUNTIFS($C$5:C155,C155,$B$5:B155,"Vendita"),"")</f>
        <v/>
      </c>
      <c r="O155" t="str">
        <f>IF(N155="","",C155&amp;"|"&amp;N155)</f>
        <v/>
      </c>
      <c r="P155" t="str">
        <f>IF(N155="","",IF(N155=1,0,MATCH(C155&amp;"|"&amp;(N155-1),$O$5:$O$1004,0)))</f>
        <v/>
      </c>
      <c r="Q155" t="str">
        <f>IF(N155="","",IF(P155=0,SUMIFS(Calcoli!$C$7:$C$21,Calcoli!$A$7:$A$21,C155),INDEX($S$5:$S$1004,P155)))</f>
        <v/>
      </c>
      <c r="R155" t="str">
        <f>IF(N155="","",IF(P155=0,SUMIFS(Calcoli!$D$7:$D$21,Calcoli!$A$7:$A$21,C155),INDEX($T$5:$T$1004,P155)))</f>
        <v/>
      </c>
      <c r="S155" t="str">
        <f>IF(N155="","",IF(B155="Acquisto",Q155+N(D155),MAX(0,Q155-N(D155))))</f>
        <v/>
      </c>
      <c r="T155" t="str">
        <f>IF(N155="","",IF(B155="Acquisto",R155+J155+N(G155),IF(Q155&lt;=0,0,R155*(1-MIN(1,N(D155)/Q155)))))</f>
        <v/>
      </c>
      <c r="U155" t="str">
        <f>IF(B155&lt;&gt;"Vendita","",J155-N(G155)-IF(Q155&lt;=0,0,R155*MIN(1,N(D155)/Q155)))</f>
        <v/>
      </c>
      <c r="V155" t="str">
        <f>IF(B155&lt;&gt;"Dividendo","",IF(Calcoli!$B$251=1,J155,L155))</f>
        <v/>
      </c>
      <c r="W155" t="str">
        <f>IF(AND(V155&lt;&gt;"",ISNUMBER(A155)),A155,"")</f>
        <v/>
      </c>
    </row>
    <row r="156">
      <c r="A156" s="134" t="n"/>
      <c r="B156" s="116" t="n"/>
      <c r="C156" s="116" t="n"/>
      <c r="D156" s="121" t="n"/>
      <c r="E156" s="120" t="n"/>
      <c r="F156" s="120" t="n"/>
      <c r="G156" s="120" t="n"/>
      <c r="H156" s="120" t="n"/>
      <c r="I156" s="117" t="n"/>
      <c r="J156" s="123" t="str">
        <f>IF(B156="","",IF(F156&lt;&gt;"",N(F156),ROUND(N(D156)*N(E156),2)))</f>
        <v/>
      </c>
      <c r="K156" s="123" t="str">
        <f>IF(B156="","",IF(H156&lt;&gt;"",N(H156),IF(B156="Dividendo",ROUND(J156*IFERROR(INDEX(Calcoli!$V$7:$V$21,MATCH(C156,Calcoli!$A$7:$A$21,0)),0.26),2),IF(B156="Vendita",ROUND(MAX(0,U156)*IFERROR(INDEX(Calcoli!$V$7:$V$21,MATCH(C156,Calcoli!$A$7:$A$21,0)),0.26),2),0))))</f>
        <v/>
      </c>
      <c r="L156" s="135" t="str">
        <f>IF(B156="","",IF(B156="Acquisto",-(J156+N(G156)),J156-N(G156)-K156))</f>
        <v/>
      </c>
      <c r="M156" s="127" t="str">
        <f>IF(B156="","",IF(ISNA(MATCH(C156,ETF!$A$7:$A$21,0)),"ETF?",IF(NOT(ISNUMBER(A156)),"Data?",IF(AND(B156&lt;&gt;"Dividendo",N(D156)&lt;=0),"Quote?",IF(AND(B156="Vendita",N(D156)&gt;N(Q156)+0.000001),"Quote?",IF(J156&lt;=0,"Importo?","✓"))))))</f>
        <v/>
      </c>
      <c r="N156" t="str">
        <f>IF(OR(B156="Acquisto",B156="Vendita"),COUNTIFS($C$5:C156,C156,$B$5:B156,"Acquisto")+COUNTIFS($C$5:C156,C156,$B$5:B156,"Vendita"),"")</f>
        <v/>
      </c>
      <c r="O156" t="str">
        <f>IF(N156="","",C156&amp;"|"&amp;N156)</f>
        <v/>
      </c>
      <c r="P156" t="str">
        <f>IF(N156="","",IF(N156=1,0,MATCH(C156&amp;"|"&amp;(N156-1),$O$5:$O$1004,0)))</f>
        <v/>
      </c>
      <c r="Q156" t="str">
        <f>IF(N156="","",IF(P156=0,SUMIFS(Calcoli!$C$7:$C$21,Calcoli!$A$7:$A$21,C156),INDEX($S$5:$S$1004,P156)))</f>
        <v/>
      </c>
      <c r="R156" t="str">
        <f>IF(N156="","",IF(P156=0,SUMIFS(Calcoli!$D$7:$D$21,Calcoli!$A$7:$A$21,C156),INDEX($T$5:$T$1004,P156)))</f>
        <v/>
      </c>
      <c r="S156" t="str">
        <f>IF(N156="","",IF(B156="Acquisto",Q156+N(D156),MAX(0,Q156-N(D156))))</f>
        <v/>
      </c>
      <c r="T156" t="str">
        <f>IF(N156="","",IF(B156="Acquisto",R156+J156+N(G156),IF(Q156&lt;=0,0,R156*(1-MIN(1,N(D156)/Q156)))))</f>
        <v/>
      </c>
      <c r="U156" t="str">
        <f>IF(B156&lt;&gt;"Vendita","",J156-N(G156)-IF(Q156&lt;=0,0,R156*MIN(1,N(D156)/Q156)))</f>
        <v/>
      </c>
      <c r="V156" t="str">
        <f>IF(B156&lt;&gt;"Dividendo","",IF(Calcoli!$B$251=1,J156,L156))</f>
        <v/>
      </c>
      <c r="W156" t="str">
        <f>IF(AND(V156&lt;&gt;"",ISNUMBER(A156)),A156,"")</f>
        <v/>
      </c>
    </row>
    <row r="157">
      <c r="A157" s="134" t="n"/>
      <c r="B157" s="116" t="n"/>
      <c r="C157" s="116" t="n"/>
      <c r="D157" s="121" t="n"/>
      <c r="E157" s="120" t="n"/>
      <c r="F157" s="120" t="n"/>
      <c r="G157" s="120" t="n"/>
      <c r="H157" s="120" t="n"/>
      <c r="I157" s="117" t="n"/>
      <c r="J157" s="123" t="str">
        <f>IF(B157="","",IF(F157&lt;&gt;"",N(F157),ROUND(N(D157)*N(E157),2)))</f>
        <v/>
      </c>
      <c r="K157" s="123" t="str">
        <f>IF(B157="","",IF(H157&lt;&gt;"",N(H157),IF(B157="Dividendo",ROUND(J157*IFERROR(INDEX(Calcoli!$V$7:$V$21,MATCH(C157,Calcoli!$A$7:$A$21,0)),0.26),2),IF(B157="Vendita",ROUND(MAX(0,U157)*IFERROR(INDEX(Calcoli!$V$7:$V$21,MATCH(C157,Calcoli!$A$7:$A$21,0)),0.26),2),0))))</f>
        <v/>
      </c>
      <c r="L157" s="135" t="str">
        <f>IF(B157="","",IF(B157="Acquisto",-(J157+N(G157)),J157-N(G157)-K157))</f>
        <v/>
      </c>
      <c r="M157" s="127" t="str">
        <f>IF(B157="","",IF(ISNA(MATCH(C157,ETF!$A$7:$A$21,0)),"ETF?",IF(NOT(ISNUMBER(A157)),"Data?",IF(AND(B157&lt;&gt;"Dividendo",N(D157)&lt;=0),"Quote?",IF(AND(B157="Vendita",N(D157)&gt;N(Q157)+0.000001),"Quote?",IF(J157&lt;=0,"Importo?","✓"))))))</f>
        <v/>
      </c>
      <c r="N157" t="str">
        <f>IF(OR(B157="Acquisto",B157="Vendita"),COUNTIFS($C$5:C157,C157,$B$5:B157,"Acquisto")+COUNTIFS($C$5:C157,C157,$B$5:B157,"Vendita"),"")</f>
        <v/>
      </c>
      <c r="O157" t="str">
        <f>IF(N157="","",C157&amp;"|"&amp;N157)</f>
        <v/>
      </c>
      <c r="P157" t="str">
        <f>IF(N157="","",IF(N157=1,0,MATCH(C157&amp;"|"&amp;(N157-1),$O$5:$O$1004,0)))</f>
        <v/>
      </c>
      <c r="Q157" t="str">
        <f>IF(N157="","",IF(P157=0,SUMIFS(Calcoli!$C$7:$C$21,Calcoli!$A$7:$A$21,C157),INDEX($S$5:$S$1004,P157)))</f>
        <v/>
      </c>
      <c r="R157" t="str">
        <f>IF(N157="","",IF(P157=0,SUMIFS(Calcoli!$D$7:$D$21,Calcoli!$A$7:$A$21,C157),INDEX($T$5:$T$1004,P157)))</f>
        <v/>
      </c>
      <c r="S157" t="str">
        <f>IF(N157="","",IF(B157="Acquisto",Q157+N(D157),MAX(0,Q157-N(D157))))</f>
        <v/>
      </c>
      <c r="T157" t="str">
        <f>IF(N157="","",IF(B157="Acquisto",R157+J157+N(G157),IF(Q157&lt;=0,0,R157*(1-MIN(1,N(D157)/Q157)))))</f>
        <v/>
      </c>
      <c r="U157" t="str">
        <f>IF(B157&lt;&gt;"Vendita","",J157-N(G157)-IF(Q157&lt;=0,0,R157*MIN(1,N(D157)/Q157)))</f>
        <v/>
      </c>
      <c r="V157" t="str">
        <f>IF(B157&lt;&gt;"Dividendo","",IF(Calcoli!$B$251=1,J157,L157))</f>
        <v/>
      </c>
      <c r="W157" t="str">
        <f>IF(AND(V157&lt;&gt;"",ISNUMBER(A157)),A157,"")</f>
        <v/>
      </c>
    </row>
    <row r="158">
      <c r="A158" s="134" t="n"/>
      <c r="B158" s="116" t="n"/>
      <c r="C158" s="116" t="n"/>
      <c r="D158" s="121" t="n"/>
      <c r="E158" s="120" t="n"/>
      <c r="F158" s="120" t="n"/>
      <c r="G158" s="120" t="n"/>
      <c r="H158" s="120" t="n"/>
      <c r="I158" s="117" t="n"/>
      <c r="J158" s="123" t="str">
        <f>IF(B158="","",IF(F158&lt;&gt;"",N(F158),ROUND(N(D158)*N(E158),2)))</f>
        <v/>
      </c>
      <c r="K158" s="123" t="str">
        <f>IF(B158="","",IF(H158&lt;&gt;"",N(H158),IF(B158="Dividendo",ROUND(J158*IFERROR(INDEX(Calcoli!$V$7:$V$21,MATCH(C158,Calcoli!$A$7:$A$21,0)),0.26),2),IF(B158="Vendita",ROUND(MAX(0,U158)*IFERROR(INDEX(Calcoli!$V$7:$V$21,MATCH(C158,Calcoli!$A$7:$A$21,0)),0.26),2),0))))</f>
        <v/>
      </c>
      <c r="L158" s="135" t="str">
        <f>IF(B158="","",IF(B158="Acquisto",-(J158+N(G158)),J158-N(G158)-K158))</f>
        <v/>
      </c>
      <c r="M158" s="127" t="str">
        <f>IF(B158="","",IF(ISNA(MATCH(C158,ETF!$A$7:$A$21,0)),"ETF?",IF(NOT(ISNUMBER(A158)),"Data?",IF(AND(B158&lt;&gt;"Dividendo",N(D158)&lt;=0),"Quote?",IF(AND(B158="Vendita",N(D158)&gt;N(Q158)+0.000001),"Quote?",IF(J158&lt;=0,"Importo?","✓"))))))</f>
        <v/>
      </c>
      <c r="N158" t="str">
        <f>IF(OR(B158="Acquisto",B158="Vendita"),COUNTIFS($C$5:C158,C158,$B$5:B158,"Acquisto")+COUNTIFS($C$5:C158,C158,$B$5:B158,"Vendita"),"")</f>
        <v/>
      </c>
      <c r="O158" t="str">
        <f>IF(N158="","",C158&amp;"|"&amp;N158)</f>
        <v/>
      </c>
      <c r="P158" t="str">
        <f>IF(N158="","",IF(N158=1,0,MATCH(C158&amp;"|"&amp;(N158-1),$O$5:$O$1004,0)))</f>
        <v/>
      </c>
      <c r="Q158" t="str">
        <f>IF(N158="","",IF(P158=0,SUMIFS(Calcoli!$C$7:$C$21,Calcoli!$A$7:$A$21,C158),INDEX($S$5:$S$1004,P158)))</f>
        <v/>
      </c>
      <c r="R158" t="str">
        <f>IF(N158="","",IF(P158=0,SUMIFS(Calcoli!$D$7:$D$21,Calcoli!$A$7:$A$21,C158),INDEX($T$5:$T$1004,P158)))</f>
        <v/>
      </c>
      <c r="S158" t="str">
        <f>IF(N158="","",IF(B158="Acquisto",Q158+N(D158),MAX(0,Q158-N(D158))))</f>
        <v/>
      </c>
      <c r="T158" t="str">
        <f>IF(N158="","",IF(B158="Acquisto",R158+J158+N(G158),IF(Q158&lt;=0,0,R158*(1-MIN(1,N(D158)/Q158)))))</f>
        <v/>
      </c>
      <c r="U158" t="str">
        <f>IF(B158&lt;&gt;"Vendita","",J158-N(G158)-IF(Q158&lt;=0,0,R158*MIN(1,N(D158)/Q158)))</f>
        <v/>
      </c>
      <c r="V158" t="str">
        <f>IF(B158&lt;&gt;"Dividendo","",IF(Calcoli!$B$251=1,J158,L158))</f>
        <v/>
      </c>
      <c r="W158" t="str">
        <f>IF(AND(V158&lt;&gt;"",ISNUMBER(A158)),A158,"")</f>
        <v/>
      </c>
    </row>
    <row r="159">
      <c r="A159" s="134" t="n"/>
      <c r="B159" s="116" t="n"/>
      <c r="C159" s="116" t="n"/>
      <c r="D159" s="121" t="n"/>
      <c r="E159" s="120" t="n"/>
      <c r="F159" s="120" t="n"/>
      <c r="G159" s="120" t="n"/>
      <c r="H159" s="120" t="n"/>
      <c r="I159" s="117" t="n"/>
      <c r="J159" s="123" t="str">
        <f>IF(B159="","",IF(F159&lt;&gt;"",N(F159),ROUND(N(D159)*N(E159),2)))</f>
        <v/>
      </c>
      <c r="K159" s="123" t="str">
        <f>IF(B159="","",IF(H159&lt;&gt;"",N(H159),IF(B159="Dividendo",ROUND(J159*IFERROR(INDEX(Calcoli!$V$7:$V$21,MATCH(C159,Calcoli!$A$7:$A$21,0)),0.26),2),IF(B159="Vendita",ROUND(MAX(0,U159)*IFERROR(INDEX(Calcoli!$V$7:$V$21,MATCH(C159,Calcoli!$A$7:$A$21,0)),0.26),2),0))))</f>
        <v/>
      </c>
      <c r="L159" s="135" t="str">
        <f>IF(B159="","",IF(B159="Acquisto",-(J159+N(G159)),J159-N(G159)-K159))</f>
        <v/>
      </c>
      <c r="M159" s="127" t="str">
        <f>IF(B159="","",IF(ISNA(MATCH(C159,ETF!$A$7:$A$21,0)),"ETF?",IF(NOT(ISNUMBER(A159)),"Data?",IF(AND(B159&lt;&gt;"Dividendo",N(D159)&lt;=0),"Quote?",IF(AND(B159="Vendita",N(D159)&gt;N(Q159)+0.000001),"Quote?",IF(J159&lt;=0,"Importo?","✓"))))))</f>
        <v/>
      </c>
      <c r="N159" t="str">
        <f>IF(OR(B159="Acquisto",B159="Vendita"),COUNTIFS($C$5:C159,C159,$B$5:B159,"Acquisto")+COUNTIFS($C$5:C159,C159,$B$5:B159,"Vendita"),"")</f>
        <v/>
      </c>
      <c r="O159" t="str">
        <f>IF(N159="","",C159&amp;"|"&amp;N159)</f>
        <v/>
      </c>
      <c r="P159" t="str">
        <f>IF(N159="","",IF(N159=1,0,MATCH(C159&amp;"|"&amp;(N159-1),$O$5:$O$1004,0)))</f>
        <v/>
      </c>
      <c r="Q159" t="str">
        <f>IF(N159="","",IF(P159=0,SUMIFS(Calcoli!$C$7:$C$21,Calcoli!$A$7:$A$21,C159),INDEX($S$5:$S$1004,P159)))</f>
        <v/>
      </c>
      <c r="R159" t="str">
        <f>IF(N159="","",IF(P159=0,SUMIFS(Calcoli!$D$7:$D$21,Calcoli!$A$7:$A$21,C159),INDEX($T$5:$T$1004,P159)))</f>
        <v/>
      </c>
      <c r="S159" t="str">
        <f>IF(N159="","",IF(B159="Acquisto",Q159+N(D159),MAX(0,Q159-N(D159))))</f>
        <v/>
      </c>
      <c r="T159" t="str">
        <f>IF(N159="","",IF(B159="Acquisto",R159+J159+N(G159),IF(Q159&lt;=0,0,R159*(1-MIN(1,N(D159)/Q159)))))</f>
        <v/>
      </c>
      <c r="U159" t="str">
        <f>IF(B159&lt;&gt;"Vendita","",J159-N(G159)-IF(Q159&lt;=0,0,R159*MIN(1,N(D159)/Q159)))</f>
        <v/>
      </c>
      <c r="V159" t="str">
        <f>IF(B159&lt;&gt;"Dividendo","",IF(Calcoli!$B$251=1,J159,L159))</f>
        <v/>
      </c>
      <c r="W159" t="str">
        <f>IF(AND(V159&lt;&gt;"",ISNUMBER(A159)),A159,"")</f>
        <v/>
      </c>
    </row>
    <row r="160">
      <c r="A160" s="134" t="n"/>
      <c r="B160" s="116" t="n"/>
      <c r="C160" s="116" t="n"/>
      <c r="D160" s="121" t="n"/>
      <c r="E160" s="120" t="n"/>
      <c r="F160" s="120" t="n"/>
      <c r="G160" s="120" t="n"/>
      <c r="H160" s="120" t="n"/>
      <c r="I160" s="117" t="n"/>
      <c r="J160" s="123" t="str">
        <f>IF(B160="","",IF(F160&lt;&gt;"",N(F160),ROUND(N(D160)*N(E160),2)))</f>
        <v/>
      </c>
      <c r="K160" s="123" t="str">
        <f>IF(B160="","",IF(H160&lt;&gt;"",N(H160),IF(B160="Dividendo",ROUND(J160*IFERROR(INDEX(Calcoli!$V$7:$V$21,MATCH(C160,Calcoli!$A$7:$A$21,0)),0.26),2),IF(B160="Vendita",ROUND(MAX(0,U160)*IFERROR(INDEX(Calcoli!$V$7:$V$21,MATCH(C160,Calcoli!$A$7:$A$21,0)),0.26),2),0))))</f>
        <v/>
      </c>
      <c r="L160" s="135" t="str">
        <f>IF(B160="","",IF(B160="Acquisto",-(J160+N(G160)),J160-N(G160)-K160))</f>
        <v/>
      </c>
      <c r="M160" s="127" t="str">
        <f>IF(B160="","",IF(ISNA(MATCH(C160,ETF!$A$7:$A$21,0)),"ETF?",IF(NOT(ISNUMBER(A160)),"Data?",IF(AND(B160&lt;&gt;"Dividendo",N(D160)&lt;=0),"Quote?",IF(AND(B160="Vendita",N(D160)&gt;N(Q160)+0.000001),"Quote?",IF(J160&lt;=0,"Importo?","✓"))))))</f>
        <v/>
      </c>
      <c r="N160" t="str">
        <f>IF(OR(B160="Acquisto",B160="Vendita"),COUNTIFS($C$5:C160,C160,$B$5:B160,"Acquisto")+COUNTIFS($C$5:C160,C160,$B$5:B160,"Vendita"),"")</f>
        <v/>
      </c>
      <c r="O160" t="str">
        <f>IF(N160="","",C160&amp;"|"&amp;N160)</f>
        <v/>
      </c>
      <c r="P160" t="str">
        <f>IF(N160="","",IF(N160=1,0,MATCH(C160&amp;"|"&amp;(N160-1),$O$5:$O$1004,0)))</f>
        <v/>
      </c>
      <c r="Q160" t="str">
        <f>IF(N160="","",IF(P160=0,SUMIFS(Calcoli!$C$7:$C$21,Calcoli!$A$7:$A$21,C160),INDEX($S$5:$S$1004,P160)))</f>
        <v/>
      </c>
      <c r="R160" t="str">
        <f>IF(N160="","",IF(P160=0,SUMIFS(Calcoli!$D$7:$D$21,Calcoli!$A$7:$A$21,C160),INDEX($T$5:$T$1004,P160)))</f>
        <v/>
      </c>
      <c r="S160" t="str">
        <f>IF(N160="","",IF(B160="Acquisto",Q160+N(D160),MAX(0,Q160-N(D160))))</f>
        <v/>
      </c>
      <c r="T160" t="str">
        <f>IF(N160="","",IF(B160="Acquisto",R160+J160+N(G160),IF(Q160&lt;=0,0,R160*(1-MIN(1,N(D160)/Q160)))))</f>
        <v/>
      </c>
      <c r="U160" t="str">
        <f>IF(B160&lt;&gt;"Vendita","",J160-N(G160)-IF(Q160&lt;=0,0,R160*MIN(1,N(D160)/Q160)))</f>
        <v/>
      </c>
      <c r="V160" t="str">
        <f>IF(B160&lt;&gt;"Dividendo","",IF(Calcoli!$B$251=1,J160,L160))</f>
        <v/>
      </c>
      <c r="W160" t="str">
        <f>IF(AND(V160&lt;&gt;"",ISNUMBER(A160)),A160,"")</f>
        <v/>
      </c>
    </row>
    <row r="161">
      <c r="A161" s="134" t="n"/>
      <c r="B161" s="116" t="n"/>
      <c r="C161" s="116" t="n"/>
      <c r="D161" s="121" t="n"/>
      <c r="E161" s="120" t="n"/>
      <c r="F161" s="120" t="n"/>
      <c r="G161" s="120" t="n"/>
      <c r="H161" s="120" t="n"/>
      <c r="I161" s="117" t="n"/>
      <c r="J161" s="123" t="str">
        <f>IF(B161="","",IF(F161&lt;&gt;"",N(F161),ROUND(N(D161)*N(E161),2)))</f>
        <v/>
      </c>
      <c r="K161" s="123" t="str">
        <f>IF(B161="","",IF(H161&lt;&gt;"",N(H161),IF(B161="Dividendo",ROUND(J161*IFERROR(INDEX(Calcoli!$V$7:$V$21,MATCH(C161,Calcoli!$A$7:$A$21,0)),0.26),2),IF(B161="Vendita",ROUND(MAX(0,U161)*IFERROR(INDEX(Calcoli!$V$7:$V$21,MATCH(C161,Calcoli!$A$7:$A$21,0)),0.26),2),0))))</f>
        <v/>
      </c>
      <c r="L161" s="135" t="str">
        <f>IF(B161="","",IF(B161="Acquisto",-(J161+N(G161)),J161-N(G161)-K161))</f>
        <v/>
      </c>
      <c r="M161" s="127" t="str">
        <f>IF(B161="","",IF(ISNA(MATCH(C161,ETF!$A$7:$A$21,0)),"ETF?",IF(NOT(ISNUMBER(A161)),"Data?",IF(AND(B161&lt;&gt;"Dividendo",N(D161)&lt;=0),"Quote?",IF(AND(B161="Vendita",N(D161)&gt;N(Q161)+0.000001),"Quote?",IF(J161&lt;=0,"Importo?","✓"))))))</f>
        <v/>
      </c>
      <c r="N161" t="str">
        <f>IF(OR(B161="Acquisto",B161="Vendita"),COUNTIFS($C$5:C161,C161,$B$5:B161,"Acquisto")+COUNTIFS($C$5:C161,C161,$B$5:B161,"Vendita"),"")</f>
        <v/>
      </c>
      <c r="O161" t="str">
        <f>IF(N161="","",C161&amp;"|"&amp;N161)</f>
        <v/>
      </c>
      <c r="P161" t="str">
        <f>IF(N161="","",IF(N161=1,0,MATCH(C161&amp;"|"&amp;(N161-1),$O$5:$O$1004,0)))</f>
        <v/>
      </c>
      <c r="Q161" t="str">
        <f>IF(N161="","",IF(P161=0,SUMIFS(Calcoli!$C$7:$C$21,Calcoli!$A$7:$A$21,C161),INDEX($S$5:$S$1004,P161)))</f>
        <v/>
      </c>
      <c r="R161" t="str">
        <f>IF(N161="","",IF(P161=0,SUMIFS(Calcoli!$D$7:$D$21,Calcoli!$A$7:$A$21,C161),INDEX($T$5:$T$1004,P161)))</f>
        <v/>
      </c>
      <c r="S161" t="str">
        <f>IF(N161="","",IF(B161="Acquisto",Q161+N(D161),MAX(0,Q161-N(D161))))</f>
        <v/>
      </c>
      <c r="T161" t="str">
        <f>IF(N161="","",IF(B161="Acquisto",R161+J161+N(G161),IF(Q161&lt;=0,0,R161*(1-MIN(1,N(D161)/Q161)))))</f>
        <v/>
      </c>
      <c r="U161" t="str">
        <f>IF(B161&lt;&gt;"Vendita","",J161-N(G161)-IF(Q161&lt;=0,0,R161*MIN(1,N(D161)/Q161)))</f>
        <v/>
      </c>
      <c r="V161" t="str">
        <f>IF(B161&lt;&gt;"Dividendo","",IF(Calcoli!$B$251=1,J161,L161))</f>
        <v/>
      </c>
      <c r="W161" t="str">
        <f>IF(AND(V161&lt;&gt;"",ISNUMBER(A161)),A161,"")</f>
        <v/>
      </c>
    </row>
    <row r="162">
      <c r="A162" s="134" t="n"/>
      <c r="B162" s="116" t="n"/>
      <c r="C162" s="116" t="n"/>
      <c r="D162" s="121" t="n"/>
      <c r="E162" s="120" t="n"/>
      <c r="F162" s="120" t="n"/>
      <c r="G162" s="120" t="n"/>
      <c r="H162" s="120" t="n"/>
      <c r="I162" s="117" t="n"/>
      <c r="J162" s="123" t="str">
        <f>IF(B162="","",IF(F162&lt;&gt;"",N(F162),ROUND(N(D162)*N(E162),2)))</f>
        <v/>
      </c>
      <c r="K162" s="123" t="str">
        <f>IF(B162="","",IF(H162&lt;&gt;"",N(H162),IF(B162="Dividendo",ROUND(J162*IFERROR(INDEX(Calcoli!$V$7:$V$21,MATCH(C162,Calcoli!$A$7:$A$21,0)),0.26),2),IF(B162="Vendita",ROUND(MAX(0,U162)*IFERROR(INDEX(Calcoli!$V$7:$V$21,MATCH(C162,Calcoli!$A$7:$A$21,0)),0.26),2),0))))</f>
        <v/>
      </c>
      <c r="L162" s="135" t="str">
        <f>IF(B162="","",IF(B162="Acquisto",-(J162+N(G162)),J162-N(G162)-K162))</f>
        <v/>
      </c>
      <c r="M162" s="127" t="str">
        <f>IF(B162="","",IF(ISNA(MATCH(C162,ETF!$A$7:$A$21,0)),"ETF?",IF(NOT(ISNUMBER(A162)),"Data?",IF(AND(B162&lt;&gt;"Dividendo",N(D162)&lt;=0),"Quote?",IF(AND(B162="Vendita",N(D162)&gt;N(Q162)+0.000001),"Quote?",IF(J162&lt;=0,"Importo?","✓"))))))</f>
        <v/>
      </c>
      <c r="N162" t="str">
        <f>IF(OR(B162="Acquisto",B162="Vendita"),COUNTIFS($C$5:C162,C162,$B$5:B162,"Acquisto")+COUNTIFS($C$5:C162,C162,$B$5:B162,"Vendita"),"")</f>
        <v/>
      </c>
      <c r="O162" t="str">
        <f>IF(N162="","",C162&amp;"|"&amp;N162)</f>
        <v/>
      </c>
      <c r="P162" t="str">
        <f>IF(N162="","",IF(N162=1,0,MATCH(C162&amp;"|"&amp;(N162-1),$O$5:$O$1004,0)))</f>
        <v/>
      </c>
      <c r="Q162" t="str">
        <f>IF(N162="","",IF(P162=0,SUMIFS(Calcoli!$C$7:$C$21,Calcoli!$A$7:$A$21,C162),INDEX($S$5:$S$1004,P162)))</f>
        <v/>
      </c>
      <c r="R162" t="str">
        <f>IF(N162="","",IF(P162=0,SUMIFS(Calcoli!$D$7:$D$21,Calcoli!$A$7:$A$21,C162),INDEX($T$5:$T$1004,P162)))</f>
        <v/>
      </c>
      <c r="S162" t="str">
        <f>IF(N162="","",IF(B162="Acquisto",Q162+N(D162),MAX(0,Q162-N(D162))))</f>
        <v/>
      </c>
      <c r="T162" t="str">
        <f>IF(N162="","",IF(B162="Acquisto",R162+J162+N(G162),IF(Q162&lt;=0,0,R162*(1-MIN(1,N(D162)/Q162)))))</f>
        <v/>
      </c>
      <c r="U162" t="str">
        <f>IF(B162&lt;&gt;"Vendita","",J162-N(G162)-IF(Q162&lt;=0,0,R162*MIN(1,N(D162)/Q162)))</f>
        <v/>
      </c>
      <c r="V162" t="str">
        <f>IF(B162&lt;&gt;"Dividendo","",IF(Calcoli!$B$251=1,J162,L162))</f>
        <v/>
      </c>
      <c r="W162" t="str">
        <f>IF(AND(V162&lt;&gt;"",ISNUMBER(A162)),A162,"")</f>
        <v/>
      </c>
    </row>
    <row r="163">
      <c r="A163" s="134" t="n"/>
      <c r="B163" s="116" t="n"/>
      <c r="C163" s="116" t="n"/>
      <c r="D163" s="121" t="n"/>
      <c r="E163" s="120" t="n"/>
      <c r="F163" s="120" t="n"/>
      <c r="G163" s="120" t="n"/>
      <c r="H163" s="120" t="n"/>
      <c r="I163" s="117" t="n"/>
      <c r="J163" s="123" t="str">
        <f>IF(B163="","",IF(F163&lt;&gt;"",N(F163),ROUND(N(D163)*N(E163),2)))</f>
        <v/>
      </c>
      <c r="K163" s="123" t="str">
        <f>IF(B163="","",IF(H163&lt;&gt;"",N(H163),IF(B163="Dividendo",ROUND(J163*IFERROR(INDEX(Calcoli!$V$7:$V$21,MATCH(C163,Calcoli!$A$7:$A$21,0)),0.26),2),IF(B163="Vendita",ROUND(MAX(0,U163)*IFERROR(INDEX(Calcoli!$V$7:$V$21,MATCH(C163,Calcoli!$A$7:$A$21,0)),0.26),2),0))))</f>
        <v/>
      </c>
      <c r="L163" s="135" t="str">
        <f>IF(B163="","",IF(B163="Acquisto",-(J163+N(G163)),J163-N(G163)-K163))</f>
        <v/>
      </c>
      <c r="M163" s="127" t="str">
        <f>IF(B163="","",IF(ISNA(MATCH(C163,ETF!$A$7:$A$21,0)),"ETF?",IF(NOT(ISNUMBER(A163)),"Data?",IF(AND(B163&lt;&gt;"Dividendo",N(D163)&lt;=0),"Quote?",IF(AND(B163="Vendita",N(D163)&gt;N(Q163)+0.000001),"Quote?",IF(J163&lt;=0,"Importo?","✓"))))))</f>
        <v/>
      </c>
      <c r="N163" t="str">
        <f>IF(OR(B163="Acquisto",B163="Vendita"),COUNTIFS($C$5:C163,C163,$B$5:B163,"Acquisto")+COUNTIFS($C$5:C163,C163,$B$5:B163,"Vendita"),"")</f>
        <v/>
      </c>
      <c r="O163" t="str">
        <f>IF(N163="","",C163&amp;"|"&amp;N163)</f>
        <v/>
      </c>
      <c r="P163" t="str">
        <f>IF(N163="","",IF(N163=1,0,MATCH(C163&amp;"|"&amp;(N163-1),$O$5:$O$1004,0)))</f>
        <v/>
      </c>
      <c r="Q163" t="str">
        <f>IF(N163="","",IF(P163=0,SUMIFS(Calcoli!$C$7:$C$21,Calcoli!$A$7:$A$21,C163),INDEX($S$5:$S$1004,P163)))</f>
        <v/>
      </c>
      <c r="R163" t="str">
        <f>IF(N163="","",IF(P163=0,SUMIFS(Calcoli!$D$7:$D$21,Calcoli!$A$7:$A$21,C163),INDEX($T$5:$T$1004,P163)))</f>
        <v/>
      </c>
      <c r="S163" t="str">
        <f>IF(N163="","",IF(B163="Acquisto",Q163+N(D163),MAX(0,Q163-N(D163))))</f>
        <v/>
      </c>
      <c r="T163" t="str">
        <f>IF(N163="","",IF(B163="Acquisto",R163+J163+N(G163),IF(Q163&lt;=0,0,R163*(1-MIN(1,N(D163)/Q163)))))</f>
        <v/>
      </c>
      <c r="U163" t="str">
        <f>IF(B163&lt;&gt;"Vendita","",J163-N(G163)-IF(Q163&lt;=0,0,R163*MIN(1,N(D163)/Q163)))</f>
        <v/>
      </c>
      <c r="V163" t="str">
        <f>IF(B163&lt;&gt;"Dividendo","",IF(Calcoli!$B$251=1,J163,L163))</f>
        <v/>
      </c>
      <c r="W163" t="str">
        <f>IF(AND(V163&lt;&gt;"",ISNUMBER(A163)),A163,"")</f>
        <v/>
      </c>
    </row>
    <row r="164">
      <c r="A164" s="134" t="n"/>
      <c r="B164" s="116" t="n"/>
      <c r="C164" s="116" t="n"/>
      <c r="D164" s="121" t="n"/>
      <c r="E164" s="120" t="n"/>
      <c r="F164" s="120" t="n"/>
      <c r="G164" s="120" t="n"/>
      <c r="H164" s="120" t="n"/>
      <c r="I164" s="117" t="n"/>
      <c r="J164" s="123" t="str">
        <f>IF(B164="","",IF(F164&lt;&gt;"",N(F164),ROUND(N(D164)*N(E164),2)))</f>
        <v/>
      </c>
      <c r="K164" s="123" t="str">
        <f>IF(B164="","",IF(H164&lt;&gt;"",N(H164),IF(B164="Dividendo",ROUND(J164*IFERROR(INDEX(Calcoli!$V$7:$V$21,MATCH(C164,Calcoli!$A$7:$A$21,0)),0.26),2),IF(B164="Vendita",ROUND(MAX(0,U164)*IFERROR(INDEX(Calcoli!$V$7:$V$21,MATCH(C164,Calcoli!$A$7:$A$21,0)),0.26),2),0))))</f>
        <v/>
      </c>
      <c r="L164" s="135" t="str">
        <f>IF(B164="","",IF(B164="Acquisto",-(J164+N(G164)),J164-N(G164)-K164))</f>
        <v/>
      </c>
      <c r="M164" s="127" t="str">
        <f>IF(B164="","",IF(ISNA(MATCH(C164,ETF!$A$7:$A$21,0)),"ETF?",IF(NOT(ISNUMBER(A164)),"Data?",IF(AND(B164&lt;&gt;"Dividendo",N(D164)&lt;=0),"Quote?",IF(AND(B164="Vendita",N(D164)&gt;N(Q164)+0.000001),"Quote?",IF(J164&lt;=0,"Importo?","✓"))))))</f>
        <v/>
      </c>
      <c r="N164" t="str">
        <f>IF(OR(B164="Acquisto",B164="Vendita"),COUNTIFS($C$5:C164,C164,$B$5:B164,"Acquisto")+COUNTIFS($C$5:C164,C164,$B$5:B164,"Vendita"),"")</f>
        <v/>
      </c>
      <c r="O164" t="str">
        <f>IF(N164="","",C164&amp;"|"&amp;N164)</f>
        <v/>
      </c>
      <c r="P164" t="str">
        <f>IF(N164="","",IF(N164=1,0,MATCH(C164&amp;"|"&amp;(N164-1),$O$5:$O$1004,0)))</f>
        <v/>
      </c>
      <c r="Q164" t="str">
        <f>IF(N164="","",IF(P164=0,SUMIFS(Calcoli!$C$7:$C$21,Calcoli!$A$7:$A$21,C164),INDEX($S$5:$S$1004,P164)))</f>
        <v/>
      </c>
      <c r="R164" t="str">
        <f>IF(N164="","",IF(P164=0,SUMIFS(Calcoli!$D$7:$D$21,Calcoli!$A$7:$A$21,C164),INDEX($T$5:$T$1004,P164)))</f>
        <v/>
      </c>
      <c r="S164" t="str">
        <f>IF(N164="","",IF(B164="Acquisto",Q164+N(D164),MAX(0,Q164-N(D164))))</f>
        <v/>
      </c>
      <c r="T164" t="str">
        <f>IF(N164="","",IF(B164="Acquisto",R164+J164+N(G164),IF(Q164&lt;=0,0,R164*(1-MIN(1,N(D164)/Q164)))))</f>
        <v/>
      </c>
      <c r="U164" t="str">
        <f>IF(B164&lt;&gt;"Vendita","",J164-N(G164)-IF(Q164&lt;=0,0,R164*MIN(1,N(D164)/Q164)))</f>
        <v/>
      </c>
      <c r="V164" t="str">
        <f>IF(B164&lt;&gt;"Dividendo","",IF(Calcoli!$B$251=1,J164,L164))</f>
        <v/>
      </c>
      <c r="W164" t="str">
        <f>IF(AND(V164&lt;&gt;"",ISNUMBER(A164)),A164,"")</f>
        <v/>
      </c>
    </row>
    <row r="165">
      <c r="A165" s="134" t="n"/>
      <c r="B165" s="116" t="n"/>
      <c r="C165" s="116" t="n"/>
      <c r="D165" s="121" t="n"/>
      <c r="E165" s="120" t="n"/>
      <c r="F165" s="120" t="n"/>
      <c r="G165" s="120" t="n"/>
      <c r="H165" s="120" t="n"/>
      <c r="I165" s="117" t="n"/>
      <c r="J165" s="123" t="str">
        <f>IF(B165="","",IF(F165&lt;&gt;"",N(F165),ROUND(N(D165)*N(E165),2)))</f>
        <v/>
      </c>
      <c r="K165" s="123" t="str">
        <f>IF(B165="","",IF(H165&lt;&gt;"",N(H165),IF(B165="Dividendo",ROUND(J165*IFERROR(INDEX(Calcoli!$V$7:$V$21,MATCH(C165,Calcoli!$A$7:$A$21,0)),0.26),2),IF(B165="Vendita",ROUND(MAX(0,U165)*IFERROR(INDEX(Calcoli!$V$7:$V$21,MATCH(C165,Calcoli!$A$7:$A$21,0)),0.26),2),0))))</f>
        <v/>
      </c>
      <c r="L165" s="135" t="str">
        <f>IF(B165="","",IF(B165="Acquisto",-(J165+N(G165)),J165-N(G165)-K165))</f>
        <v/>
      </c>
      <c r="M165" s="127" t="str">
        <f>IF(B165="","",IF(ISNA(MATCH(C165,ETF!$A$7:$A$21,0)),"ETF?",IF(NOT(ISNUMBER(A165)),"Data?",IF(AND(B165&lt;&gt;"Dividendo",N(D165)&lt;=0),"Quote?",IF(AND(B165="Vendita",N(D165)&gt;N(Q165)+0.000001),"Quote?",IF(J165&lt;=0,"Importo?","✓"))))))</f>
        <v/>
      </c>
      <c r="N165" t="str">
        <f>IF(OR(B165="Acquisto",B165="Vendita"),COUNTIFS($C$5:C165,C165,$B$5:B165,"Acquisto")+COUNTIFS($C$5:C165,C165,$B$5:B165,"Vendita"),"")</f>
        <v/>
      </c>
      <c r="O165" t="str">
        <f>IF(N165="","",C165&amp;"|"&amp;N165)</f>
        <v/>
      </c>
      <c r="P165" t="str">
        <f>IF(N165="","",IF(N165=1,0,MATCH(C165&amp;"|"&amp;(N165-1),$O$5:$O$1004,0)))</f>
        <v/>
      </c>
      <c r="Q165" t="str">
        <f>IF(N165="","",IF(P165=0,SUMIFS(Calcoli!$C$7:$C$21,Calcoli!$A$7:$A$21,C165),INDEX($S$5:$S$1004,P165)))</f>
        <v/>
      </c>
      <c r="R165" t="str">
        <f>IF(N165="","",IF(P165=0,SUMIFS(Calcoli!$D$7:$D$21,Calcoli!$A$7:$A$21,C165),INDEX($T$5:$T$1004,P165)))</f>
        <v/>
      </c>
      <c r="S165" t="str">
        <f>IF(N165="","",IF(B165="Acquisto",Q165+N(D165),MAX(0,Q165-N(D165))))</f>
        <v/>
      </c>
      <c r="T165" t="str">
        <f>IF(N165="","",IF(B165="Acquisto",R165+J165+N(G165),IF(Q165&lt;=0,0,R165*(1-MIN(1,N(D165)/Q165)))))</f>
        <v/>
      </c>
      <c r="U165" t="str">
        <f>IF(B165&lt;&gt;"Vendita","",J165-N(G165)-IF(Q165&lt;=0,0,R165*MIN(1,N(D165)/Q165)))</f>
        <v/>
      </c>
      <c r="V165" t="str">
        <f>IF(B165&lt;&gt;"Dividendo","",IF(Calcoli!$B$251=1,J165,L165))</f>
        <v/>
      </c>
      <c r="W165" t="str">
        <f>IF(AND(V165&lt;&gt;"",ISNUMBER(A165)),A165,"")</f>
        <v/>
      </c>
    </row>
    <row r="166">
      <c r="A166" s="134" t="n"/>
      <c r="B166" s="116" t="n"/>
      <c r="C166" s="116" t="n"/>
      <c r="D166" s="121" t="n"/>
      <c r="E166" s="120" t="n"/>
      <c r="F166" s="120" t="n"/>
      <c r="G166" s="120" t="n"/>
      <c r="H166" s="120" t="n"/>
      <c r="I166" s="117" t="n"/>
      <c r="J166" s="123" t="str">
        <f>IF(B166="","",IF(F166&lt;&gt;"",N(F166),ROUND(N(D166)*N(E166),2)))</f>
        <v/>
      </c>
      <c r="K166" s="123" t="str">
        <f>IF(B166="","",IF(H166&lt;&gt;"",N(H166),IF(B166="Dividendo",ROUND(J166*IFERROR(INDEX(Calcoli!$V$7:$V$21,MATCH(C166,Calcoli!$A$7:$A$21,0)),0.26),2),IF(B166="Vendita",ROUND(MAX(0,U166)*IFERROR(INDEX(Calcoli!$V$7:$V$21,MATCH(C166,Calcoli!$A$7:$A$21,0)),0.26),2),0))))</f>
        <v/>
      </c>
      <c r="L166" s="135" t="str">
        <f>IF(B166="","",IF(B166="Acquisto",-(J166+N(G166)),J166-N(G166)-K166))</f>
        <v/>
      </c>
      <c r="M166" s="127" t="str">
        <f>IF(B166="","",IF(ISNA(MATCH(C166,ETF!$A$7:$A$21,0)),"ETF?",IF(NOT(ISNUMBER(A166)),"Data?",IF(AND(B166&lt;&gt;"Dividendo",N(D166)&lt;=0),"Quote?",IF(AND(B166="Vendita",N(D166)&gt;N(Q166)+0.000001),"Quote?",IF(J166&lt;=0,"Importo?","✓"))))))</f>
        <v/>
      </c>
      <c r="N166" t="str">
        <f>IF(OR(B166="Acquisto",B166="Vendita"),COUNTIFS($C$5:C166,C166,$B$5:B166,"Acquisto")+COUNTIFS($C$5:C166,C166,$B$5:B166,"Vendita"),"")</f>
        <v/>
      </c>
      <c r="O166" t="str">
        <f>IF(N166="","",C166&amp;"|"&amp;N166)</f>
        <v/>
      </c>
      <c r="P166" t="str">
        <f>IF(N166="","",IF(N166=1,0,MATCH(C166&amp;"|"&amp;(N166-1),$O$5:$O$1004,0)))</f>
        <v/>
      </c>
      <c r="Q166" t="str">
        <f>IF(N166="","",IF(P166=0,SUMIFS(Calcoli!$C$7:$C$21,Calcoli!$A$7:$A$21,C166),INDEX($S$5:$S$1004,P166)))</f>
        <v/>
      </c>
      <c r="R166" t="str">
        <f>IF(N166="","",IF(P166=0,SUMIFS(Calcoli!$D$7:$D$21,Calcoli!$A$7:$A$21,C166),INDEX($T$5:$T$1004,P166)))</f>
        <v/>
      </c>
      <c r="S166" t="str">
        <f>IF(N166="","",IF(B166="Acquisto",Q166+N(D166),MAX(0,Q166-N(D166))))</f>
        <v/>
      </c>
      <c r="T166" t="str">
        <f>IF(N166="","",IF(B166="Acquisto",R166+J166+N(G166),IF(Q166&lt;=0,0,R166*(1-MIN(1,N(D166)/Q166)))))</f>
        <v/>
      </c>
      <c r="U166" t="str">
        <f>IF(B166&lt;&gt;"Vendita","",J166-N(G166)-IF(Q166&lt;=0,0,R166*MIN(1,N(D166)/Q166)))</f>
        <v/>
      </c>
      <c r="V166" t="str">
        <f>IF(B166&lt;&gt;"Dividendo","",IF(Calcoli!$B$251=1,J166,L166))</f>
        <v/>
      </c>
      <c r="W166" t="str">
        <f>IF(AND(V166&lt;&gt;"",ISNUMBER(A166)),A166,"")</f>
        <v/>
      </c>
    </row>
    <row r="167">
      <c r="A167" s="134" t="n"/>
      <c r="B167" s="116" t="n"/>
      <c r="C167" s="116" t="n"/>
      <c r="D167" s="121" t="n"/>
      <c r="E167" s="120" t="n"/>
      <c r="F167" s="120" t="n"/>
      <c r="G167" s="120" t="n"/>
      <c r="H167" s="120" t="n"/>
      <c r="I167" s="117" t="n"/>
      <c r="J167" s="123" t="str">
        <f>IF(B167="","",IF(F167&lt;&gt;"",N(F167),ROUND(N(D167)*N(E167),2)))</f>
        <v/>
      </c>
      <c r="K167" s="123" t="str">
        <f>IF(B167="","",IF(H167&lt;&gt;"",N(H167),IF(B167="Dividendo",ROUND(J167*IFERROR(INDEX(Calcoli!$V$7:$V$21,MATCH(C167,Calcoli!$A$7:$A$21,0)),0.26),2),IF(B167="Vendita",ROUND(MAX(0,U167)*IFERROR(INDEX(Calcoli!$V$7:$V$21,MATCH(C167,Calcoli!$A$7:$A$21,0)),0.26),2),0))))</f>
        <v/>
      </c>
      <c r="L167" s="135" t="str">
        <f>IF(B167="","",IF(B167="Acquisto",-(J167+N(G167)),J167-N(G167)-K167))</f>
        <v/>
      </c>
      <c r="M167" s="127" t="str">
        <f>IF(B167="","",IF(ISNA(MATCH(C167,ETF!$A$7:$A$21,0)),"ETF?",IF(NOT(ISNUMBER(A167)),"Data?",IF(AND(B167&lt;&gt;"Dividendo",N(D167)&lt;=0),"Quote?",IF(AND(B167="Vendita",N(D167)&gt;N(Q167)+0.000001),"Quote?",IF(J167&lt;=0,"Importo?","✓"))))))</f>
        <v/>
      </c>
      <c r="N167" t="str">
        <f>IF(OR(B167="Acquisto",B167="Vendita"),COUNTIFS($C$5:C167,C167,$B$5:B167,"Acquisto")+COUNTIFS($C$5:C167,C167,$B$5:B167,"Vendita"),"")</f>
        <v/>
      </c>
      <c r="O167" t="str">
        <f>IF(N167="","",C167&amp;"|"&amp;N167)</f>
        <v/>
      </c>
      <c r="P167" t="str">
        <f>IF(N167="","",IF(N167=1,0,MATCH(C167&amp;"|"&amp;(N167-1),$O$5:$O$1004,0)))</f>
        <v/>
      </c>
      <c r="Q167" t="str">
        <f>IF(N167="","",IF(P167=0,SUMIFS(Calcoli!$C$7:$C$21,Calcoli!$A$7:$A$21,C167),INDEX($S$5:$S$1004,P167)))</f>
        <v/>
      </c>
      <c r="R167" t="str">
        <f>IF(N167="","",IF(P167=0,SUMIFS(Calcoli!$D$7:$D$21,Calcoli!$A$7:$A$21,C167),INDEX($T$5:$T$1004,P167)))</f>
        <v/>
      </c>
      <c r="S167" t="str">
        <f>IF(N167="","",IF(B167="Acquisto",Q167+N(D167),MAX(0,Q167-N(D167))))</f>
        <v/>
      </c>
      <c r="T167" t="str">
        <f>IF(N167="","",IF(B167="Acquisto",R167+J167+N(G167),IF(Q167&lt;=0,0,R167*(1-MIN(1,N(D167)/Q167)))))</f>
        <v/>
      </c>
      <c r="U167" t="str">
        <f>IF(B167&lt;&gt;"Vendita","",J167-N(G167)-IF(Q167&lt;=0,0,R167*MIN(1,N(D167)/Q167)))</f>
        <v/>
      </c>
      <c r="V167" t="str">
        <f>IF(B167&lt;&gt;"Dividendo","",IF(Calcoli!$B$251=1,J167,L167))</f>
        <v/>
      </c>
      <c r="W167" t="str">
        <f>IF(AND(V167&lt;&gt;"",ISNUMBER(A167)),A167,"")</f>
        <v/>
      </c>
    </row>
    <row r="168">
      <c r="A168" s="134" t="n"/>
      <c r="B168" s="116" t="n"/>
      <c r="C168" s="116" t="n"/>
      <c r="D168" s="121" t="n"/>
      <c r="E168" s="120" t="n"/>
      <c r="F168" s="120" t="n"/>
      <c r="G168" s="120" t="n"/>
      <c r="H168" s="120" t="n"/>
      <c r="I168" s="117" t="n"/>
      <c r="J168" s="123" t="str">
        <f>IF(B168="","",IF(F168&lt;&gt;"",N(F168),ROUND(N(D168)*N(E168),2)))</f>
        <v/>
      </c>
      <c r="K168" s="123" t="str">
        <f>IF(B168="","",IF(H168&lt;&gt;"",N(H168),IF(B168="Dividendo",ROUND(J168*IFERROR(INDEX(Calcoli!$V$7:$V$21,MATCH(C168,Calcoli!$A$7:$A$21,0)),0.26),2),IF(B168="Vendita",ROUND(MAX(0,U168)*IFERROR(INDEX(Calcoli!$V$7:$V$21,MATCH(C168,Calcoli!$A$7:$A$21,0)),0.26),2),0))))</f>
        <v/>
      </c>
      <c r="L168" s="135" t="str">
        <f>IF(B168="","",IF(B168="Acquisto",-(J168+N(G168)),J168-N(G168)-K168))</f>
        <v/>
      </c>
      <c r="M168" s="127" t="str">
        <f>IF(B168="","",IF(ISNA(MATCH(C168,ETF!$A$7:$A$21,0)),"ETF?",IF(NOT(ISNUMBER(A168)),"Data?",IF(AND(B168&lt;&gt;"Dividendo",N(D168)&lt;=0),"Quote?",IF(AND(B168="Vendita",N(D168)&gt;N(Q168)+0.000001),"Quote?",IF(J168&lt;=0,"Importo?","✓"))))))</f>
        <v/>
      </c>
      <c r="N168" t="str">
        <f>IF(OR(B168="Acquisto",B168="Vendita"),COUNTIFS($C$5:C168,C168,$B$5:B168,"Acquisto")+COUNTIFS($C$5:C168,C168,$B$5:B168,"Vendita"),"")</f>
        <v/>
      </c>
      <c r="O168" t="str">
        <f>IF(N168="","",C168&amp;"|"&amp;N168)</f>
        <v/>
      </c>
      <c r="P168" t="str">
        <f>IF(N168="","",IF(N168=1,0,MATCH(C168&amp;"|"&amp;(N168-1),$O$5:$O$1004,0)))</f>
        <v/>
      </c>
      <c r="Q168" t="str">
        <f>IF(N168="","",IF(P168=0,SUMIFS(Calcoli!$C$7:$C$21,Calcoli!$A$7:$A$21,C168),INDEX($S$5:$S$1004,P168)))</f>
        <v/>
      </c>
      <c r="R168" t="str">
        <f>IF(N168="","",IF(P168=0,SUMIFS(Calcoli!$D$7:$D$21,Calcoli!$A$7:$A$21,C168),INDEX($T$5:$T$1004,P168)))</f>
        <v/>
      </c>
      <c r="S168" t="str">
        <f>IF(N168="","",IF(B168="Acquisto",Q168+N(D168),MAX(0,Q168-N(D168))))</f>
        <v/>
      </c>
      <c r="T168" t="str">
        <f>IF(N168="","",IF(B168="Acquisto",R168+J168+N(G168),IF(Q168&lt;=0,0,R168*(1-MIN(1,N(D168)/Q168)))))</f>
        <v/>
      </c>
      <c r="U168" t="str">
        <f>IF(B168&lt;&gt;"Vendita","",J168-N(G168)-IF(Q168&lt;=0,0,R168*MIN(1,N(D168)/Q168)))</f>
        <v/>
      </c>
      <c r="V168" t="str">
        <f>IF(B168&lt;&gt;"Dividendo","",IF(Calcoli!$B$251=1,J168,L168))</f>
        <v/>
      </c>
      <c r="W168" t="str">
        <f>IF(AND(V168&lt;&gt;"",ISNUMBER(A168)),A168,"")</f>
        <v/>
      </c>
    </row>
    <row r="169">
      <c r="A169" s="134" t="n"/>
      <c r="B169" s="116" t="n"/>
      <c r="C169" s="116" t="n"/>
      <c r="D169" s="121" t="n"/>
      <c r="E169" s="120" t="n"/>
      <c r="F169" s="120" t="n"/>
      <c r="G169" s="120" t="n"/>
      <c r="H169" s="120" t="n"/>
      <c r="I169" s="117" t="n"/>
      <c r="J169" s="123" t="str">
        <f>IF(B169="","",IF(F169&lt;&gt;"",N(F169),ROUND(N(D169)*N(E169),2)))</f>
        <v/>
      </c>
      <c r="K169" s="123" t="str">
        <f>IF(B169="","",IF(H169&lt;&gt;"",N(H169),IF(B169="Dividendo",ROUND(J169*IFERROR(INDEX(Calcoli!$V$7:$V$21,MATCH(C169,Calcoli!$A$7:$A$21,0)),0.26),2),IF(B169="Vendita",ROUND(MAX(0,U169)*IFERROR(INDEX(Calcoli!$V$7:$V$21,MATCH(C169,Calcoli!$A$7:$A$21,0)),0.26),2),0))))</f>
        <v/>
      </c>
      <c r="L169" s="135" t="str">
        <f>IF(B169="","",IF(B169="Acquisto",-(J169+N(G169)),J169-N(G169)-K169))</f>
        <v/>
      </c>
      <c r="M169" s="127" t="str">
        <f>IF(B169="","",IF(ISNA(MATCH(C169,ETF!$A$7:$A$21,0)),"ETF?",IF(NOT(ISNUMBER(A169)),"Data?",IF(AND(B169&lt;&gt;"Dividendo",N(D169)&lt;=0),"Quote?",IF(AND(B169="Vendita",N(D169)&gt;N(Q169)+0.000001),"Quote?",IF(J169&lt;=0,"Importo?","✓"))))))</f>
        <v/>
      </c>
      <c r="N169" t="str">
        <f>IF(OR(B169="Acquisto",B169="Vendita"),COUNTIFS($C$5:C169,C169,$B$5:B169,"Acquisto")+COUNTIFS($C$5:C169,C169,$B$5:B169,"Vendita"),"")</f>
        <v/>
      </c>
      <c r="O169" t="str">
        <f>IF(N169="","",C169&amp;"|"&amp;N169)</f>
        <v/>
      </c>
      <c r="P169" t="str">
        <f>IF(N169="","",IF(N169=1,0,MATCH(C169&amp;"|"&amp;(N169-1),$O$5:$O$1004,0)))</f>
        <v/>
      </c>
      <c r="Q169" t="str">
        <f>IF(N169="","",IF(P169=0,SUMIFS(Calcoli!$C$7:$C$21,Calcoli!$A$7:$A$21,C169),INDEX($S$5:$S$1004,P169)))</f>
        <v/>
      </c>
      <c r="R169" t="str">
        <f>IF(N169="","",IF(P169=0,SUMIFS(Calcoli!$D$7:$D$21,Calcoli!$A$7:$A$21,C169),INDEX($T$5:$T$1004,P169)))</f>
        <v/>
      </c>
      <c r="S169" t="str">
        <f>IF(N169="","",IF(B169="Acquisto",Q169+N(D169),MAX(0,Q169-N(D169))))</f>
        <v/>
      </c>
      <c r="T169" t="str">
        <f>IF(N169="","",IF(B169="Acquisto",R169+J169+N(G169),IF(Q169&lt;=0,0,R169*(1-MIN(1,N(D169)/Q169)))))</f>
        <v/>
      </c>
      <c r="U169" t="str">
        <f>IF(B169&lt;&gt;"Vendita","",J169-N(G169)-IF(Q169&lt;=0,0,R169*MIN(1,N(D169)/Q169)))</f>
        <v/>
      </c>
      <c r="V169" t="str">
        <f>IF(B169&lt;&gt;"Dividendo","",IF(Calcoli!$B$251=1,J169,L169))</f>
        <v/>
      </c>
      <c r="W169" t="str">
        <f>IF(AND(V169&lt;&gt;"",ISNUMBER(A169)),A169,"")</f>
        <v/>
      </c>
    </row>
    <row r="170">
      <c r="A170" s="134" t="n"/>
      <c r="B170" s="116" t="n"/>
      <c r="C170" s="116" t="n"/>
      <c r="D170" s="121" t="n"/>
      <c r="E170" s="120" t="n"/>
      <c r="F170" s="120" t="n"/>
      <c r="G170" s="120" t="n"/>
      <c r="H170" s="120" t="n"/>
      <c r="I170" s="117" t="n"/>
      <c r="J170" s="123" t="str">
        <f>IF(B170="","",IF(F170&lt;&gt;"",N(F170),ROUND(N(D170)*N(E170),2)))</f>
        <v/>
      </c>
      <c r="K170" s="123" t="str">
        <f>IF(B170="","",IF(H170&lt;&gt;"",N(H170),IF(B170="Dividendo",ROUND(J170*IFERROR(INDEX(Calcoli!$V$7:$V$21,MATCH(C170,Calcoli!$A$7:$A$21,0)),0.26),2),IF(B170="Vendita",ROUND(MAX(0,U170)*IFERROR(INDEX(Calcoli!$V$7:$V$21,MATCH(C170,Calcoli!$A$7:$A$21,0)),0.26),2),0))))</f>
        <v/>
      </c>
      <c r="L170" s="135" t="str">
        <f>IF(B170="","",IF(B170="Acquisto",-(J170+N(G170)),J170-N(G170)-K170))</f>
        <v/>
      </c>
      <c r="M170" s="127" t="str">
        <f>IF(B170="","",IF(ISNA(MATCH(C170,ETF!$A$7:$A$21,0)),"ETF?",IF(NOT(ISNUMBER(A170)),"Data?",IF(AND(B170&lt;&gt;"Dividendo",N(D170)&lt;=0),"Quote?",IF(AND(B170="Vendita",N(D170)&gt;N(Q170)+0.000001),"Quote?",IF(J170&lt;=0,"Importo?","✓"))))))</f>
        <v/>
      </c>
      <c r="N170" t="str">
        <f>IF(OR(B170="Acquisto",B170="Vendita"),COUNTIFS($C$5:C170,C170,$B$5:B170,"Acquisto")+COUNTIFS($C$5:C170,C170,$B$5:B170,"Vendita"),"")</f>
        <v/>
      </c>
      <c r="O170" t="str">
        <f>IF(N170="","",C170&amp;"|"&amp;N170)</f>
        <v/>
      </c>
      <c r="P170" t="str">
        <f>IF(N170="","",IF(N170=1,0,MATCH(C170&amp;"|"&amp;(N170-1),$O$5:$O$1004,0)))</f>
        <v/>
      </c>
      <c r="Q170" t="str">
        <f>IF(N170="","",IF(P170=0,SUMIFS(Calcoli!$C$7:$C$21,Calcoli!$A$7:$A$21,C170),INDEX($S$5:$S$1004,P170)))</f>
        <v/>
      </c>
      <c r="R170" t="str">
        <f>IF(N170="","",IF(P170=0,SUMIFS(Calcoli!$D$7:$D$21,Calcoli!$A$7:$A$21,C170),INDEX($T$5:$T$1004,P170)))</f>
        <v/>
      </c>
      <c r="S170" t="str">
        <f>IF(N170="","",IF(B170="Acquisto",Q170+N(D170),MAX(0,Q170-N(D170))))</f>
        <v/>
      </c>
      <c r="T170" t="str">
        <f>IF(N170="","",IF(B170="Acquisto",R170+J170+N(G170),IF(Q170&lt;=0,0,R170*(1-MIN(1,N(D170)/Q170)))))</f>
        <v/>
      </c>
      <c r="U170" t="str">
        <f>IF(B170&lt;&gt;"Vendita","",J170-N(G170)-IF(Q170&lt;=0,0,R170*MIN(1,N(D170)/Q170)))</f>
        <v/>
      </c>
      <c r="V170" t="str">
        <f>IF(B170&lt;&gt;"Dividendo","",IF(Calcoli!$B$251=1,J170,L170))</f>
        <v/>
      </c>
      <c r="W170" t="str">
        <f>IF(AND(V170&lt;&gt;"",ISNUMBER(A170)),A170,"")</f>
        <v/>
      </c>
    </row>
    <row r="171">
      <c r="A171" s="134" t="n"/>
      <c r="B171" s="116" t="n"/>
      <c r="C171" s="116" t="n"/>
      <c r="D171" s="121" t="n"/>
      <c r="E171" s="120" t="n"/>
      <c r="F171" s="120" t="n"/>
      <c r="G171" s="120" t="n"/>
      <c r="H171" s="120" t="n"/>
      <c r="I171" s="117" t="n"/>
      <c r="J171" s="123" t="str">
        <f>IF(B171="","",IF(F171&lt;&gt;"",N(F171),ROUND(N(D171)*N(E171),2)))</f>
        <v/>
      </c>
      <c r="K171" s="123" t="str">
        <f>IF(B171="","",IF(H171&lt;&gt;"",N(H171),IF(B171="Dividendo",ROUND(J171*IFERROR(INDEX(Calcoli!$V$7:$V$21,MATCH(C171,Calcoli!$A$7:$A$21,0)),0.26),2),IF(B171="Vendita",ROUND(MAX(0,U171)*IFERROR(INDEX(Calcoli!$V$7:$V$21,MATCH(C171,Calcoli!$A$7:$A$21,0)),0.26),2),0))))</f>
        <v/>
      </c>
      <c r="L171" s="135" t="str">
        <f>IF(B171="","",IF(B171="Acquisto",-(J171+N(G171)),J171-N(G171)-K171))</f>
        <v/>
      </c>
      <c r="M171" s="127" t="str">
        <f>IF(B171="","",IF(ISNA(MATCH(C171,ETF!$A$7:$A$21,0)),"ETF?",IF(NOT(ISNUMBER(A171)),"Data?",IF(AND(B171&lt;&gt;"Dividendo",N(D171)&lt;=0),"Quote?",IF(AND(B171="Vendita",N(D171)&gt;N(Q171)+0.000001),"Quote?",IF(J171&lt;=0,"Importo?","✓"))))))</f>
        <v/>
      </c>
      <c r="N171" t="str">
        <f>IF(OR(B171="Acquisto",B171="Vendita"),COUNTIFS($C$5:C171,C171,$B$5:B171,"Acquisto")+COUNTIFS($C$5:C171,C171,$B$5:B171,"Vendita"),"")</f>
        <v/>
      </c>
      <c r="O171" t="str">
        <f>IF(N171="","",C171&amp;"|"&amp;N171)</f>
        <v/>
      </c>
      <c r="P171" t="str">
        <f>IF(N171="","",IF(N171=1,0,MATCH(C171&amp;"|"&amp;(N171-1),$O$5:$O$1004,0)))</f>
        <v/>
      </c>
      <c r="Q171" t="str">
        <f>IF(N171="","",IF(P171=0,SUMIFS(Calcoli!$C$7:$C$21,Calcoli!$A$7:$A$21,C171),INDEX($S$5:$S$1004,P171)))</f>
        <v/>
      </c>
      <c r="R171" t="str">
        <f>IF(N171="","",IF(P171=0,SUMIFS(Calcoli!$D$7:$D$21,Calcoli!$A$7:$A$21,C171),INDEX($T$5:$T$1004,P171)))</f>
        <v/>
      </c>
      <c r="S171" t="str">
        <f>IF(N171="","",IF(B171="Acquisto",Q171+N(D171),MAX(0,Q171-N(D171))))</f>
        <v/>
      </c>
      <c r="T171" t="str">
        <f>IF(N171="","",IF(B171="Acquisto",R171+J171+N(G171),IF(Q171&lt;=0,0,R171*(1-MIN(1,N(D171)/Q171)))))</f>
        <v/>
      </c>
      <c r="U171" t="str">
        <f>IF(B171&lt;&gt;"Vendita","",J171-N(G171)-IF(Q171&lt;=0,0,R171*MIN(1,N(D171)/Q171)))</f>
        <v/>
      </c>
      <c r="V171" t="str">
        <f>IF(B171&lt;&gt;"Dividendo","",IF(Calcoli!$B$251=1,J171,L171))</f>
        <v/>
      </c>
      <c r="W171" t="str">
        <f>IF(AND(V171&lt;&gt;"",ISNUMBER(A171)),A171,"")</f>
        <v/>
      </c>
    </row>
    <row r="172">
      <c r="A172" s="134" t="n"/>
      <c r="B172" s="116" t="n"/>
      <c r="C172" s="116" t="n"/>
      <c r="D172" s="121" t="n"/>
      <c r="E172" s="120" t="n"/>
      <c r="F172" s="120" t="n"/>
      <c r="G172" s="120" t="n"/>
      <c r="H172" s="120" t="n"/>
      <c r="I172" s="117" t="n"/>
      <c r="J172" s="123" t="str">
        <f>IF(B172="","",IF(F172&lt;&gt;"",N(F172),ROUND(N(D172)*N(E172),2)))</f>
        <v/>
      </c>
      <c r="K172" s="123" t="str">
        <f>IF(B172="","",IF(H172&lt;&gt;"",N(H172),IF(B172="Dividendo",ROUND(J172*IFERROR(INDEX(Calcoli!$V$7:$V$21,MATCH(C172,Calcoli!$A$7:$A$21,0)),0.26),2),IF(B172="Vendita",ROUND(MAX(0,U172)*IFERROR(INDEX(Calcoli!$V$7:$V$21,MATCH(C172,Calcoli!$A$7:$A$21,0)),0.26),2),0))))</f>
        <v/>
      </c>
      <c r="L172" s="135" t="str">
        <f>IF(B172="","",IF(B172="Acquisto",-(J172+N(G172)),J172-N(G172)-K172))</f>
        <v/>
      </c>
      <c r="M172" s="127" t="str">
        <f>IF(B172="","",IF(ISNA(MATCH(C172,ETF!$A$7:$A$21,0)),"ETF?",IF(NOT(ISNUMBER(A172)),"Data?",IF(AND(B172&lt;&gt;"Dividendo",N(D172)&lt;=0),"Quote?",IF(AND(B172="Vendita",N(D172)&gt;N(Q172)+0.000001),"Quote?",IF(J172&lt;=0,"Importo?","✓"))))))</f>
        <v/>
      </c>
      <c r="N172" t="str">
        <f>IF(OR(B172="Acquisto",B172="Vendita"),COUNTIFS($C$5:C172,C172,$B$5:B172,"Acquisto")+COUNTIFS($C$5:C172,C172,$B$5:B172,"Vendita"),"")</f>
        <v/>
      </c>
      <c r="O172" t="str">
        <f>IF(N172="","",C172&amp;"|"&amp;N172)</f>
        <v/>
      </c>
      <c r="P172" t="str">
        <f>IF(N172="","",IF(N172=1,0,MATCH(C172&amp;"|"&amp;(N172-1),$O$5:$O$1004,0)))</f>
        <v/>
      </c>
      <c r="Q172" t="str">
        <f>IF(N172="","",IF(P172=0,SUMIFS(Calcoli!$C$7:$C$21,Calcoli!$A$7:$A$21,C172),INDEX($S$5:$S$1004,P172)))</f>
        <v/>
      </c>
      <c r="R172" t="str">
        <f>IF(N172="","",IF(P172=0,SUMIFS(Calcoli!$D$7:$D$21,Calcoli!$A$7:$A$21,C172),INDEX($T$5:$T$1004,P172)))</f>
        <v/>
      </c>
      <c r="S172" t="str">
        <f>IF(N172="","",IF(B172="Acquisto",Q172+N(D172),MAX(0,Q172-N(D172))))</f>
        <v/>
      </c>
      <c r="T172" t="str">
        <f>IF(N172="","",IF(B172="Acquisto",R172+J172+N(G172),IF(Q172&lt;=0,0,R172*(1-MIN(1,N(D172)/Q172)))))</f>
        <v/>
      </c>
      <c r="U172" t="str">
        <f>IF(B172&lt;&gt;"Vendita","",J172-N(G172)-IF(Q172&lt;=0,0,R172*MIN(1,N(D172)/Q172)))</f>
        <v/>
      </c>
      <c r="V172" t="str">
        <f>IF(B172&lt;&gt;"Dividendo","",IF(Calcoli!$B$251=1,J172,L172))</f>
        <v/>
      </c>
      <c r="W172" t="str">
        <f>IF(AND(V172&lt;&gt;"",ISNUMBER(A172)),A172,"")</f>
        <v/>
      </c>
    </row>
    <row r="173">
      <c r="A173" s="134" t="n"/>
      <c r="B173" s="116" t="n"/>
      <c r="C173" s="116" t="n"/>
      <c r="D173" s="121" t="n"/>
      <c r="E173" s="120" t="n"/>
      <c r="F173" s="120" t="n"/>
      <c r="G173" s="120" t="n"/>
      <c r="H173" s="120" t="n"/>
      <c r="I173" s="117" t="n"/>
      <c r="J173" s="123" t="str">
        <f>IF(B173="","",IF(F173&lt;&gt;"",N(F173),ROUND(N(D173)*N(E173),2)))</f>
        <v/>
      </c>
      <c r="K173" s="123" t="str">
        <f>IF(B173="","",IF(H173&lt;&gt;"",N(H173),IF(B173="Dividendo",ROUND(J173*IFERROR(INDEX(Calcoli!$V$7:$V$21,MATCH(C173,Calcoli!$A$7:$A$21,0)),0.26),2),IF(B173="Vendita",ROUND(MAX(0,U173)*IFERROR(INDEX(Calcoli!$V$7:$V$21,MATCH(C173,Calcoli!$A$7:$A$21,0)),0.26),2),0))))</f>
        <v/>
      </c>
      <c r="L173" s="135" t="str">
        <f>IF(B173="","",IF(B173="Acquisto",-(J173+N(G173)),J173-N(G173)-K173))</f>
        <v/>
      </c>
      <c r="M173" s="127" t="str">
        <f>IF(B173="","",IF(ISNA(MATCH(C173,ETF!$A$7:$A$21,0)),"ETF?",IF(NOT(ISNUMBER(A173)),"Data?",IF(AND(B173&lt;&gt;"Dividendo",N(D173)&lt;=0),"Quote?",IF(AND(B173="Vendita",N(D173)&gt;N(Q173)+0.000001),"Quote?",IF(J173&lt;=0,"Importo?","✓"))))))</f>
        <v/>
      </c>
      <c r="N173" t="str">
        <f>IF(OR(B173="Acquisto",B173="Vendita"),COUNTIFS($C$5:C173,C173,$B$5:B173,"Acquisto")+COUNTIFS($C$5:C173,C173,$B$5:B173,"Vendita"),"")</f>
        <v/>
      </c>
      <c r="O173" t="str">
        <f>IF(N173="","",C173&amp;"|"&amp;N173)</f>
        <v/>
      </c>
      <c r="P173" t="str">
        <f>IF(N173="","",IF(N173=1,0,MATCH(C173&amp;"|"&amp;(N173-1),$O$5:$O$1004,0)))</f>
        <v/>
      </c>
      <c r="Q173" t="str">
        <f>IF(N173="","",IF(P173=0,SUMIFS(Calcoli!$C$7:$C$21,Calcoli!$A$7:$A$21,C173),INDEX($S$5:$S$1004,P173)))</f>
        <v/>
      </c>
      <c r="R173" t="str">
        <f>IF(N173="","",IF(P173=0,SUMIFS(Calcoli!$D$7:$D$21,Calcoli!$A$7:$A$21,C173),INDEX($T$5:$T$1004,P173)))</f>
        <v/>
      </c>
      <c r="S173" t="str">
        <f>IF(N173="","",IF(B173="Acquisto",Q173+N(D173),MAX(0,Q173-N(D173))))</f>
        <v/>
      </c>
      <c r="T173" t="str">
        <f>IF(N173="","",IF(B173="Acquisto",R173+J173+N(G173),IF(Q173&lt;=0,0,R173*(1-MIN(1,N(D173)/Q173)))))</f>
        <v/>
      </c>
      <c r="U173" t="str">
        <f>IF(B173&lt;&gt;"Vendita","",J173-N(G173)-IF(Q173&lt;=0,0,R173*MIN(1,N(D173)/Q173)))</f>
        <v/>
      </c>
      <c r="V173" t="str">
        <f>IF(B173&lt;&gt;"Dividendo","",IF(Calcoli!$B$251=1,J173,L173))</f>
        <v/>
      </c>
      <c r="W173" t="str">
        <f>IF(AND(V173&lt;&gt;"",ISNUMBER(A173)),A173,"")</f>
        <v/>
      </c>
    </row>
    <row r="174">
      <c r="A174" s="134" t="n"/>
      <c r="B174" s="116" t="n"/>
      <c r="C174" s="116" t="n"/>
      <c r="D174" s="121" t="n"/>
      <c r="E174" s="120" t="n"/>
      <c r="F174" s="120" t="n"/>
      <c r="G174" s="120" t="n"/>
      <c r="H174" s="120" t="n"/>
      <c r="I174" s="117" t="n"/>
      <c r="J174" s="123" t="str">
        <f>IF(B174="","",IF(F174&lt;&gt;"",N(F174),ROUND(N(D174)*N(E174),2)))</f>
        <v/>
      </c>
      <c r="K174" s="123" t="str">
        <f>IF(B174="","",IF(H174&lt;&gt;"",N(H174),IF(B174="Dividendo",ROUND(J174*IFERROR(INDEX(Calcoli!$V$7:$V$21,MATCH(C174,Calcoli!$A$7:$A$21,0)),0.26),2),IF(B174="Vendita",ROUND(MAX(0,U174)*IFERROR(INDEX(Calcoli!$V$7:$V$21,MATCH(C174,Calcoli!$A$7:$A$21,0)),0.26),2),0))))</f>
        <v/>
      </c>
      <c r="L174" s="135" t="str">
        <f>IF(B174="","",IF(B174="Acquisto",-(J174+N(G174)),J174-N(G174)-K174))</f>
        <v/>
      </c>
      <c r="M174" s="127" t="str">
        <f>IF(B174="","",IF(ISNA(MATCH(C174,ETF!$A$7:$A$21,0)),"ETF?",IF(NOT(ISNUMBER(A174)),"Data?",IF(AND(B174&lt;&gt;"Dividendo",N(D174)&lt;=0),"Quote?",IF(AND(B174="Vendita",N(D174)&gt;N(Q174)+0.000001),"Quote?",IF(J174&lt;=0,"Importo?","✓"))))))</f>
        <v/>
      </c>
      <c r="N174" t="str">
        <f>IF(OR(B174="Acquisto",B174="Vendita"),COUNTIFS($C$5:C174,C174,$B$5:B174,"Acquisto")+COUNTIFS($C$5:C174,C174,$B$5:B174,"Vendita"),"")</f>
        <v/>
      </c>
      <c r="O174" t="str">
        <f>IF(N174="","",C174&amp;"|"&amp;N174)</f>
        <v/>
      </c>
      <c r="P174" t="str">
        <f>IF(N174="","",IF(N174=1,0,MATCH(C174&amp;"|"&amp;(N174-1),$O$5:$O$1004,0)))</f>
        <v/>
      </c>
      <c r="Q174" t="str">
        <f>IF(N174="","",IF(P174=0,SUMIFS(Calcoli!$C$7:$C$21,Calcoli!$A$7:$A$21,C174),INDEX($S$5:$S$1004,P174)))</f>
        <v/>
      </c>
      <c r="R174" t="str">
        <f>IF(N174="","",IF(P174=0,SUMIFS(Calcoli!$D$7:$D$21,Calcoli!$A$7:$A$21,C174),INDEX($T$5:$T$1004,P174)))</f>
        <v/>
      </c>
      <c r="S174" t="str">
        <f>IF(N174="","",IF(B174="Acquisto",Q174+N(D174),MAX(0,Q174-N(D174))))</f>
        <v/>
      </c>
      <c r="T174" t="str">
        <f>IF(N174="","",IF(B174="Acquisto",R174+J174+N(G174),IF(Q174&lt;=0,0,R174*(1-MIN(1,N(D174)/Q174)))))</f>
        <v/>
      </c>
      <c r="U174" t="str">
        <f>IF(B174&lt;&gt;"Vendita","",J174-N(G174)-IF(Q174&lt;=0,0,R174*MIN(1,N(D174)/Q174)))</f>
        <v/>
      </c>
      <c r="V174" t="str">
        <f>IF(B174&lt;&gt;"Dividendo","",IF(Calcoli!$B$251=1,J174,L174))</f>
        <v/>
      </c>
      <c r="W174" t="str">
        <f>IF(AND(V174&lt;&gt;"",ISNUMBER(A174)),A174,"")</f>
        <v/>
      </c>
    </row>
    <row r="175">
      <c r="A175" s="134" t="n"/>
      <c r="B175" s="116" t="n"/>
      <c r="C175" s="116" t="n"/>
      <c r="D175" s="121" t="n"/>
      <c r="E175" s="120" t="n"/>
      <c r="F175" s="120" t="n"/>
      <c r="G175" s="120" t="n"/>
      <c r="H175" s="120" t="n"/>
      <c r="I175" s="117" t="n"/>
      <c r="J175" s="123" t="str">
        <f>IF(B175="","",IF(F175&lt;&gt;"",N(F175),ROUND(N(D175)*N(E175),2)))</f>
        <v/>
      </c>
      <c r="K175" s="123" t="str">
        <f>IF(B175="","",IF(H175&lt;&gt;"",N(H175),IF(B175="Dividendo",ROUND(J175*IFERROR(INDEX(Calcoli!$V$7:$V$21,MATCH(C175,Calcoli!$A$7:$A$21,0)),0.26),2),IF(B175="Vendita",ROUND(MAX(0,U175)*IFERROR(INDEX(Calcoli!$V$7:$V$21,MATCH(C175,Calcoli!$A$7:$A$21,0)),0.26),2),0))))</f>
        <v/>
      </c>
      <c r="L175" s="135" t="str">
        <f>IF(B175="","",IF(B175="Acquisto",-(J175+N(G175)),J175-N(G175)-K175))</f>
        <v/>
      </c>
      <c r="M175" s="127" t="str">
        <f>IF(B175="","",IF(ISNA(MATCH(C175,ETF!$A$7:$A$21,0)),"ETF?",IF(NOT(ISNUMBER(A175)),"Data?",IF(AND(B175&lt;&gt;"Dividendo",N(D175)&lt;=0),"Quote?",IF(AND(B175="Vendita",N(D175)&gt;N(Q175)+0.000001),"Quote?",IF(J175&lt;=0,"Importo?","✓"))))))</f>
        <v/>
      </c>
      <c r="N175" t="str">
        <f>IF(OR(B175="Acquisto",B175="Vendita"),COUNTIFS($C$5:C175,C175,$B$5:B175,"Acquisto")+COUNTIFS($C$5:C175,C175,$B$5:B175,"Vendita"),"")</f>
        <v/>
      </c>
      <c r="O175" t="str">
        <f>IF(N175="","",C175&amp;"|"&amp;N175)</f>
        <v/>
      </c>
      <c r="P175" t="str">
        <f>IF(N175="","",IF(N175=1,0,MATCH(C175&amp;"|"&amp;(N175-1),$O$5:$O$1004,0)))</f>
        <v/>
      </c>
      <c r="Q175" t="str">
        <f>IF(N175="","",IF(P175=0,SUMIFS(Calcoli!$C$7:$C$21,Calcoli!$A$7:$A$21,C175),INDEX($S$5:$S$1004,P175)))</f>
        <v/>
      </c>
      <c r="R175" t="str">
        <f>IF(N175="","",IF(P175=0,SUMIFS(Calcoli!$D$7:$D$21,Calcoli!$A$7:$A$21,C175),INDEX($T$5:$T$1004,P175)))</f>
        <v/>
      </c>
      <c r="S175" t="str">
        <f>IF(N175="","",IF(B175="Acquisto",Q175+N(D175),MAX(0,Q175-N(D175))))</f>
        <v/>
      </c>
      <c r="T175" t="str">
        <f>IF(N175="","",IF(B175="Acquisto",R175+J175+N(G175),IF(Q175&lt;=0,0,R175*(1-MIN(1,N(D175)/Q175)))))</f>
        <v/>
      </c>
      <c r="U175" t="str">
        <f>IF(B175&lt;&gt;"Vendita","",J175-N(G175)-IF(Q175&lt;=0,0,R175*MIN(1,N(D175)/Q175)))</f>
        <v/>
      </c>
      <c r="V175" t="str">
        <f>IF(B175&lt;&gt;"Dividendo","",IF(Calcoli!$B$251=1,J175,L175))</f>
        <v/>
      </c>
      <c r="W175" t="str">
        <f>IF(AND(V175&lt;&gt;"",ISNUMBER(A175)),A175,"")</f>
        <v/>
      </c>
    </row>
    <row r="176">
      <c r="A176" s="134" t="n"/>
      <c r="B176" s="116" t="n"/>
      <c r="C176" s="116" t="n"/>
      <c r="D176" s="121" t="n"/>
      <c r="E176" s="120" t="n"/>
      <c r="F176" s="120" t="n"/>
      <c r="G176" s="120" t="n"/>
      <c r="H176" s="120" t="n"/>
      <c r="I176" s="117" t="n"/>
      <c r="J176" s="123" t="str">
        <f>IF(B176="","",IF(F176&lt;&gt;"",N(F176),ROUND(N(D176)*N(E176),2)))</f>
        <v/>
      </c>
      <c r="K176" s="123" t="str">
        <f>IF(B176="","",IF(H176&lt;&gt;"",N(H176),IF(B176="Dividendo",ROUND(J176*IFERROR(INDEX(Calcoli!$V$7:$V$21,MATCH(C176,Calcoli!$A$7:$A$21,0)),0.26),2),IF(B176="Vendita",ROUND(MAX(0,U176)*IFERROR(INDEX(Calcoli!$V$7:$V$21,MATCH(C176,Calcoli!$A$7:$A$21,0)),0.26),2),0))))</f>
        <v/>
      </c>
      <c r="L176" s="135" t="str">
        <f>IF(B176="","",IF(B176="Acquisto",-(J176+N(G176)),J176-N(G176)-K176))</f>
        <v/>
      </c>
      <c r="M176" s="127" t="str">
        <f>IF(B176="","",IF(ISNA(MATCH(C176,ETF!$A$7:$A$21,0)),"ETF?",IF(NOT(ISNUMBER(A176)),"Data?",IF(AND(B176&lt;&gt;"Dividendo",N(D176)&lt;=0),"Quote?",IF(AND(B176="Vendita",N(D176)&gt;N(Q176)+0.000001),"Quote?",IF(J176&lt;=0,"Importo?","✓"))))))</f>
        <v/>
      </c>
      <c r="N176" t="str">
        <f>IF(OR(B176="Acquisto",B176="Vendita"),COUNTIFS($C$5:C176,C176,$B$5:B176,"Acquisto")+COUNTIFS($C$5:C176,C176,$B$5:B176,"Vendita"),"")</f>
        <v/>
      </c>
      <c r="O176" t="str">
        <f>IF(N176="","",C176&amp;"|"&amp;N176)</f>
        <v/>
      </c>
      <c r="P176" t="str">
        <f>IF(N176="","",IF(N176=1,0,MATCH(C176&amp;"|"&amp;(N176-1),$O$5:$O$1004,0)))</f>
        <v/>
      </c>
      <c r="Q176" t="str">
        <f>IF(N176="","",IF(P176=0,SUMIFS(Calcoli!$C$7:$C$21,Calcoli!$A$7:$A$21,C176),INDEX($S$5:$S$1004,P176)))</f>
        <v/>
      </c>
      <c r="R176" t="str">
        <f>IF(N176="","",IF(P176=0,SUMIFS(Calcoli!$D$7:$D$21,Calcoli!$A$7:$A$21,C176),INDEX($T$5:$T$1004,P176)))</f>
        <v/>
      </c>
      <c r="S176" t="str">
        <f>IF(N176="","",IF(B176="Acquisto",Q176+N(D176),MAX(0,Q176-N(D176))))</f>
        <v/>
      </c>
      <c r="T176" t="str">
        <f>IF(N176="","",IF(B176="Acquisto",R176+J176+N(G176),IF(Q176&lt;=0,0,R176*(1-MIN(1,N(D176)/Q176)))))</f>
        <v/>
      </c>
      <c r="U176" t="str">
        <f>IF(B176&lt;&gt;"Vendita","",J176-N(G176)-IF(Q176&lt;=0,0,R176*MIN(1,N(D176)/Q176)))</f>
        <v/>
      </c>
      <c r="V176" t="str">
        <f>IF(B176&lt;&gt;"Dividendo","",IF(Calcoli!$B$251=1,J176,L176))</f>
        <v/>
      </c>
      <c r="W176" t="str">
        <f>IF(AND(V176&lt;&gt;"",ISNUMBER(A176)),A176,"")</f>
        <v/>
      </c>
    </row>
    <row r="177">
      <c r="A177" s="134" t="n"/>
      <c r="B177" s="116" t="n"/>
      <c r="C177" s="116" t="n"/>
      <c r="D177" s="121" t="n"/>
      <c r="E177" s="120" t="n"/>
      <c r="F177" s="120" t="n"/>
      <c r="G177" s="120" t="n"/>
      <c r="H177" s="120" t="n"/>
      <c r="I177" s="117" t="n"/>
      <c r="J177" s="123" t="str">
        <f>IF(B177="","",IF(F177&lt;&gt;"",N(F177),ROUND(N(D177)*N(E177),2)))</f>
        <v/>
      </c>
      <c r="K177" s="123" t="str">
        <f>IF(B177="","",IF(H177&lt;&gt;"",N(H177),IF(B177="Dividendo",ROUND(J177*IFERROR(INDEX(Calcoli!$V$7:$V$21,MATCH(C177,Calcoli!$A$7:$A$21,0)),0.26),2),IF(B177="Vendita",ROUND(MAX(0,U177)*IFERROR(INDEX(Calcoli!$V$7:$V$21,MATCH(C177,Calcoli!$A$7:$A$21,0)),0.26),2),0))))</f>
        <v/>
      </c>
      <c r="L177" s="135" t="str">
        <f>IF(B177="","",IF(B177="Acquisto",-(J177+N(G177)),J177-N(G177)-K177))</f>
        <v/>
      </c>
      <c r="M177" s="127" t="str">
        <f>IF(B177="","",IF(ISNA(MATCH(C177,ETF!$A$7:$A$21,0)),"ETF?",IF(NOT(ISNUMBER(A177)),"Data?",IF(AND(B177&lt;&gt;"Dividendo",N(D177)&lt;=0),"Quote?",IF(AND(B177="Vendita",N(D177)&gt;N(Q177)+0.000001),"Quote?",IF(J177&lt;=0,"Importo?","✓"))))))</f>
        <v/>
      </c>
      <c r="N177" t="str">
        <f>IF(OR(B177="Acquisto",B177="Vendita"),COUNTIFS($C$5:C177,C177,$B$5:B177,"Acquisto")+COUNTIFS($C$5:C177,C177,$B$5:B177,"Vendita"),"")</f>
        <v/>
      </c>
      <c r="O177" t="str">
        <f>IF(N177="","",C177&amp;"|"&amp;N177)</f>
        <v/>
      </c>
      <c r="P177" t="str">
        <f>IF(N177="","",IF(N177=1,0,MATCH(C177&amp;"|"&amp;(N177-1),$O$5:$O$1004,0)))</f>
        <v/>
      </c>
      <c r="Q177" t="str">
        <f>IF(N177="","",IF(P177=0,SUMIFS(Calcoli!$C$7:$C$21,Calcoli!$A$7:$A$21,C177),INDEX($S$5:$S$1004,P177)))</f>
        <v/>
      </c>
      <c r="R177" t="str">
        <f>IF(N177="","",IF(P177=0,SUMIFS(Calcoli!$D$7:$D$21,Calcoli!$A$7:$A$21,C177),INDEX($T$5:$T$1004,P177)))</f>
        <v/>
      </c>
      <c r="S177" t="str">
        <f>IF(N177="","",IF(B177="Acquisto",Q177+N(D177),MAX(0,Q177-N(D177))))</f>
        <v/>
      </c>
      <c r="T177" t="str">
        <f>IF(N177="","",IF(B177="Acquisto",R177+J177+N(G177),IF(Q177&lt;=0,0,R177*(1-MIN(1,N(D177)/Q177)))))</f>
        <v/>
      </c>
      <c r="U177" t="str">
        <f>IF(B177&lt;&gt;"Vendita","",J177-N(G177)-IF(Q177&lt;=0,0,R177*MIN(1,N(D177)/Q177)))</f>
        <v/>
      </c>
      <c r="V177" t="str">
        <f>IF(B177&lt;&gt;"Dividendo","",IF(Calcoli!$B$251=1,J177,L177))</f>
        <v/>
      </c>
      <c r="W177" t="str">
        <f>IF(AND(V177&lt;&gt;"",ISNUMBER(A177)),A177,"")</f>
        <v/>
      </c>
    </row>
    <row r="178">
      <c r="A178" s="134" t="n"/>
      <c r="B178" s="116" t="n"/>
      <c r="C178" s="116" t="n"/>
      <c r="D178" s="121" t="n"/>
      <c r="E178" s="120" t="n"/>
      <c r="F178" s="120" t="n"/>
      <c r="G178" s="120" t="n"/>
      <c r="H178" s="120" t="n"/>
      <c r="I178" s="117" t="n"/>
      <c r="J178" s="123" t="str">
        <f>IF(B178="","",IF(F178&lt;&gt;"",N(F178),ROUND(N(D178)*N(E178),2)))</f>
        <v/>
      </c>
      <c r="K178" s="123" t="str">
        <f>IF(B178="","",IF(H178&lt;&gt;"",N(H178),IF(B178="Dividendo",ROUND(J178*IFERROR(INDEX(Calcoli!$V$7:$V$21,MATCH(C178,Calcoli!$A$7:$A$21,0)),0.26),2),IF(B178="Vendita",ROUND(MAX(0,U178)*IFERROR(INDEX(Calcoli!$V$7:$V$21,MATCH(C178,Calcoli!$A$7:$A$21,0)),0.26),2),0))))</f>
        <v/>
      </c>
      <c r="L178" s="135" t="str">
        <f>IF(B178="","",IF(B178="Acquisto",-(J178+N(G178)),J178-N(G178)-K178))</f>
        <v/>
      </c>
      <c r="M178" s="127" t="str">
        <f>IF(B178="","",IF(ISNA(MATCH(C178,ETF!$A$7:$A$21,0)),"ETF?",IF(NOT(ISNUMBER(A178)),"Data?",IF(AND(B178&lt;&gt;"Dividendo",N(D178)&lt;=0),"Quote?",IF(AND(B178="Vendita",N(D178)&gt;N(Q178)+0.000001),"Quote?",IF(J178&lt;=0,"Importo?","✓"))))))</f>
        <v/>
      </c>
      <c r="N178" t="str">
        <f>IF(OR(B178="Acquisto",B178="Vendita"),COUNTIFS($C$5:C178,C178,$B$5:B178,"Acquisto")+COUNTIFS($C$5:C178,C178,$B$5:B178,"Vendita"),"")</f>
        <v/>
      </c>
      <c r="O178" t="str">
        <f>IF(N178="","",C178&amp;"|"&amp;N178)</f>
        <v/>
      </c>
      <c r="P178" t="str">
        <f>IF(N178="","",IF(N178=1,0,MATCH(C178&amp;"|"&amp;(N178-1),$O$5:$O$1004,0)))</f>
        <v/>
      </c>
      <c r="Q178" t="str">
        <f>IF(N178="","",IF(P178=0,SUMIFS(Calcoli!$C$7:$C$21,Calcoli!$A$7:$A$21,C178),INDEX($S$5:$S$1004,P178)))</f>
        <v/>
      </c>
      <c r="R178" t="str">
        <f>IF(N178="","",IF(P178=0,SUMIFS(Calcoli!$D$7:$D$21,Calcoli!$A$7:$A$21,C178),INDEX($T$5:$T$1004,P178)))</f>
        <v/>
      </c>
      <c r="S178" t="str">
        <f>IF(N178="","",IF(B178="Acquisto",Q178+N(D178),MAX(0,Q178-N(D178))))</f>
        <v/>
      </c>
      <c r="T178" t="str">
        <f>IF(N178="","",IF(B178="Acquisto",R178+J178+N(G178),IF(Q178&lt;=0,0,R178*(1-MIN(1,N(D178)/Q178)))))</f>
        <v/>
      </c>
      <c r="U178" t="str">
        <f>IF(B178&lt;&gt;"Vendita","",J178-N(G178)-IF(Q178&lt;=0,0,R178*MIN(1,N(D178)/Q178)))</f>
        <v/>
      </c>
      <c r="V178" t="str">
        <f>IF(B178&lt;&gt;"Dividendo","",IF(Calcoli!$B$251=1,J178,L178))</f>
        <v/>
      </c>
      <c r="W178" t="str">
        <f>IF(AND(V178&lt;&gt;"",ISNUMBER(A178)),A178,"")</f>
        <v/>
      </c>
    </row>
    <row r="179">
      <c r="A179" s="134" t="n"/>
      <c r="B179" s="116" t="n"/>
      <c r="C179" s="116" t="n"/>
      <c r="D179" s="121" t="n"/>
      <c r="E179" s="120" t="n"/>
      <c r="F179" s="120" t="n"/>
      <c r="G179" s="120" t="n"/>
      <c r="H179" s="120" t="n"/>
      <c r="I179" s="117" t="n"/>
      <c r="J179" s="123" t="str">
        <f>IF(B179="","",IF(F179&lt;&gt;"",N(F179),ROUND(N(D179)*N(E179),2)))</f>
        <v/>
      </c>
      <c r="K179" s="123" t="str">
        <f>IF(B179="","",IF(H179&lt;&gt;"",N(H179),IF(B179="Dividendo",ROUND(J179*IFERROR(INDEX(Calcoli!$V$7:$V$21,MATCH(C179,Calcoli!$A$7:$A$21,0)),0.26),2),IF(B179="Vendita",ROUND(MAX(0,U179)*IFERROR(INDEX(Calcoli!$V$7:$V$21,MATCH(C179,Calcoli!$A$7:$A$21,0)),0.26),2),0))))</f>
        <v/>
      </c>
      <c r="L179" s="135" t="str">
        <f>IF(B179="","",IF(B179="Acquisto",-(J179+N(G179)),J179-N(G179)-K179))</f>
        <v/>
      </c>
      <c r="M179" s="127" t="str">
        <f>IF(B179="","",IF(ISNA(MATCH(C179,ETF!$A$7:$A$21,0)),"ETF?",IF(NOT(ISNUMBER(A179)),"Data?",IF(AND(B179&lt;&gt;"Dividendo",N(D179)&lt;=0),"Quote?",IF(AND(B179="Vendita",N(D179)&gt;N(Q179)+0.000001),"Quote?",IF(J179&lt;=0,"Importo?","✓"))))))</f>
        <v/>
      </c>
      <c r="N179" t="str">
        <f>IF(OR(B179="Acquisto",B179="Vendita"),COUNTIFS($C$5:C179,C179,$B$5:B179,"Acquisto")+COUNTIFS($C$5:C179,C179,$B$5:B179,"Vendita"),"")</f>
        <v/>
      </c>
      <c r="O179" t="str">
        <f>IF(N179="","",C179&amp;"|"&amp;N179)</f>
        <v/>
      </c>
      <c r="P179" t="str">
        <f>IF(N179="","",IF(N179=1,0,MATCH(C179&amp;"|"&amp;(N179-1),$O$5:$O$1004,0)))</f>
        <v/>
      </c>
      <c r="Q179" t="str">
        <f>IF(N179="","",IF(P179=0,SUMIFS(Calcoli!$C$7:$C$21,Calcoli!$A$7:$A$21,C179),INDEX($S$5:$S$1004,P179)))</f>
        <v/>
      </c>
      <c r="R179" t="str">
        <f>IF(N179="","",IF(P179=0,SUMIFS(Calcoli!$D$7:$D$21,Calcoli!$A$7:$A$21,C179),INDEX($T$5:$T$1004,P179)))</f>
        <v/>
      </c>
      <c r="S179" t="str">
        <f>IF(N179="","",IF(B179="Acquisto",Q179+N(D179),MAX(0,Q179-N(D179))))</f>
        <v/>
      </c>
      <c r="T179" t="str">
        <f>IF(N179="","",IF(B179="Acquisto",R179+J179+N(G179),IF(Q179&lt;=0,0,R179*(1-MIN(1,N(D179)/Q179)))))</f>
        <v/>
      </c>
      <c r="U179" t="str">
        <f>IF(B179&lt;&gt;"Vendita","",J179-N(G179)-IF(Q179&lt;=0,0,R179*MIN(1,N(D179)/Q179)))</f>
        <v/>
      </c>
      <c r="V179" t="str">
        <f>IF(B179&lt;&gt;"Dividendo","",IF(Calcoli!$B$251=1,J179,L179))</f>
        <v/>
      </c>
      <c r="W179" t="str">
        <f>IF(AND(V179&lt;&gt;"",ISNUMBER(A179)),A179,"")</f>
        <v/>
      </c>
    </row>
    <row r="180">
      <c r="A180" s="134" t="n"/>
      <c r="B180" s="116" t="n"/>
      <c r="C180" s="116" t="n"/>
      <c r="D180" s="121" t="n"/>
      <c r="E180" s="120" t="n"/>
      <c r="F180" s="120" t="n"/>
      <c r="G180" s="120" t="n"/>
      <c r="H180" s="120" t="n"/>
      <c r="I180" s="117" t="n"/>
      <c r="J180" s="123" t="str">
        <f>IF(B180="","",IF(F180&lt;&gt;"",N(F180),ROUND(N(D180)*N(E180),2)))</f>
        <v/>
      </c>
      <c r="K180" s="123" t="str">
        <f>IF(B180="","",IF(H180&lt;&gt;"",N(H180),IF(B180="Dividendo",ROUND(J180*IFERROR(INDEX(Calcoli!$V$7:$V$21,MATCH(C180,Calcoli!$A$7:$A$21,0)),0.26),2),IF(B180="Vendita",ROUND(MAX(0,U180)*IFERROR(INDEX(Calcoli!$V$7:$V$21,MATCH(C180,Calcoli!$A$7:$A$21,0)),0.26),2),0))))</f>
        <v/>
      </c>
      <c r="L180" s="135" t="str">
        <f>IF(B180="","",IF(B180="Acquisto",-(J180+N(G180)),J180-N(G180)-K180))</f>
        <v/>
      </c>
      <c r="M180" s="127" t="str">
        <f>IF(B180="","",IF(ISNA(MATCH(C180,ETF!$A$7:$A$21,0)),"ETF?",IF(NOT(ISNUMBER(A180)),"Data?",IF(AND(B180&lt;&gt;"Dividendo",N(D180)&lt;=0),"Quote?",IF(AND(B180="Vendita",N(D180)&gt;N(Q180)+0.000001),"Quote?",IF(J180&lt;=0,"Importo?","✓"))))))</f>
        <v/>
      </c>
      <c r="N180" t="str">
        <f>IF(OR(B180="Acquisto",B180="Vendita"),COUNTIFS($C$5:C180,C180,$B$5:B180,"Acquisto")+COUNTIFS($C$5:C180,C180,$B$5:B180,"Vendita"),"")</f>
        <v/>
      </c>
      <c r="O180" t="str">
        <f>IF(N180="","",C180&amp;"|"&amp;N180)</f>
        <v/>
      </c>
      <c r="P180" t="str">
        <f>IF(N180="","",IF(N180=1,0,MATCH(C180&amp;"|"&amp;(N180-1),$O$5:$O$1004,0)))</f>
        <v/>
      </c>
      <c r="Q180" t="str">
        <f>IF(N180="","",IF(P180=0,SUMIFS(Calcoli!$C$7:$C$21,Calcoli!$A$7:$A$21,C180),INDEX($S$5:$S$1004,P180)))</f>
        <v/>
      </c>
      <c r="R180" t="str">
        <f>IF(N180="","",IF(P180=0,SUMIFS(Calcoli!$D$7:$D$21,Calcoli!$A$7:$A$21,C180),INDEX($T$5:$T$1004,P180)))</f>
        <v/>
      </c>
      <c r="S180" t="str">
        <f>IF(N180="","",IF(B180="Acquisto",Q180+N(D180),MAX(0,Q180-N(D180))))</f>
        <v/>
      </c>
      <c r="T180" t="str">
        <f>IF(N180="","",IF(B180="Acquisto",R180+J180+N(G180),IF(Q180&lt;=0,0,R180*(1-MIN(1,N(D180)/Q180)))))</f>
        <v/>
      </c>
      <c r="U180" t="str">
        <f>IF(B180&lt;&gt;"Vendita","",J180-N(G180)-IF(Q180&lt;=0,0,R180*MIN(1,N(D180)/Q180)))</f>
        <v/>
      </c>
      <c r="V180" t="str">
        <f>IF(B180&lt;&gt;"Dividendo","",IF(Calcoli!$B$251=1,J180,L180))</f>
        <v/>
      </c>
      <c r="W180" t="str">
        <f>IF(AND(V180&lt;&gt;"",ISNUMBER(A180)),A180,"")</f>
        <v/>
      </c>
    </row>
    <row r="181">
      <c r="A181" s="134" t="n"/>
      <c r="B181" s="116" t="n"/>
      <c r="C181" s="116" t="n"/>
      <c r="D181" s="121" t="n"/>
      <c r="E181" s="120" t="n"/>
      <c r="F181" s="120" t="n"/>
      <c r="G181" s="120" t="n"/>
      <c r="H181" s="120" t="n"/>
      <c r="I181" s="117" t="n"/>
      <c r="J181" s="123" t="str">
        <f>IF(B181="","",IF(F181&lt;&gt;"",N(F181),ROUND(N(D181)*N(E181),2)))</f>
        <v/>
      </c>
      <c r="K181" s="123" t="str">
        <f>IF(B181="","",IF(H181&lt;&gt;"",N(H181),IF(B181="Dividendo",ROUND(J181*IFERROR(INDEX(Calcoli!$V$7:$V$21,MATCH(C181,Calcoli!$A$7:$A$21,0)),0.26),2),IF(B181="Vendita",ROUND(MAX(0,U181)*IFERROR(INDEX(Calcoli!$V$7:$V$21,MATCH(C181,Calcoli!$A$7:$A$21,0)),0.26),2),0))))</f>
        <v/>
      </c>
      <c r="L181" s="135" t="str">
        <f>IF(B181="","",IF(B181="Acquisto",-(J181+N(G181)),J181-N(G181)-K181))</f>
        <v/>
      </c>
      <c r="M181" s="127" t="str">
        <f>IF(B181="","",IF(ISNA(MATCH(C181,ETF!$A$7:$A$21,0)),"ETF?",IF(NOT(ISNUMBER(A181)),"Data?",IF(AND(B181&lt;&gt;"Dividendo",N(D181)&lt;=0),"Quote?",IF(AND(B181="Vendita",N(D181)&gt;N(Q181)+0.000001),"Quote?",IF(J181&lt;=0,"Importo?","✓"))))))</f>
        <v/>
      </c>
      <c r="N181" t="str">
        <f>IF(OR(B181="Acquisto",B181="Vendita"),COUNTIFS($C$5:C181,C181,$B$5:B181,"Acquisto")+COUNTIFS($C$5:C181,C181,$B$5:B181,"Vendita"),"")</f>
        <v/>
      </c>
      <c r="O181" t="str">
        <f>IF(N181="","",C181&amp;"|"&amp;N181)</f>
        <v/>
      </c>
      <c r="P181" t="str">
        <f>IF(N181="","",IF(N181=1,0,MATCH(C181&amp;"|"&amp;(N181-1),$O$5:$O$1004,0)))</f>
        <v/>
      </c>
      <c r="Q181" t="str">
        <f>IF(N181="","",IF(P181=0,SUMIFS(Calcoli!$C$7:$C$21,Calcoli!$A$7:$A$21,C181),INDEX($S$5:$S$1004,P181)))</f>
        <v/>
      </c>
      <c r="R181" t="str">
        <f>IF(N181="","",IF(P181=0,SUMIFS(Calcoli!$D$7:$D$21,Calcoli!$A$7:$A$21,C181),INDEX($T$5:$T$1004,P181)))</f>
        <v/>
      </c>
      <c r="S181" t="str">
        <f>IF(N181="","",IF(B181="Acquisto",Q181+N(D181),MAX(0,Q181-N(D181))))</f>
        <v/>
      </c>
      <c r="T181" t="str">
        <f>IF(N181="","",IF(B181="Acquisto",R181+J181+N(G181),IF(Q181&lt;=0,0,R181*(1-MIN(1,N(D181)/Q181)))))</f>
        <v/>
      </c>
      <c r="U181" t="str">
        <f>IF(B181&lt;&gt;"Vendita","",J181-N(G181)-IF(Q181&lt;=0,0,R181*MIN(1,N(D181)/Q181)))</f>
        <v/>
      </c>
      <c r="V181" t="str">
        <f>IF(B181&lt;&gt;"Dividendo","",IF(Calcoli!$B$251=1,J181,L181))</f>
        <v/>
      </c>
      <c r="W181" t="str">
        <f>IF(AND(V181&lt;&gt;"",ISNUMBER(A181)),A181,"")</f>
        <v/>
      </c>
    </row>
    <row r="182">
      <c r="A182" s="134" t="n"/>
      <c r="B182" s="116" t="n"/>
      <c r="C182" s="116" t="n"/>
      <c r="D182" s="121" t="n"/>
      <c r="E182" s="120" t="n"/>
      <c r="F182" s="120" t="n"/>
      <c r="G182" s="120" t="n"/>
      <c r="H182" s="120" t="n"/>
      <c r="I182" s="117" t="n"/>
      <c r="J182" s="123" t="str">
        <f>IF(B182="","",IF(F182&lt;&gt;"",N(F182),ROUND(N(D182)*N(E182),2)))</f>
        <v/>
      </c>
      <c r="K182" s="123" t="str">
        <f>IF(B182="","",IF(H182&lt;&gt;"",N(H182),IF(B182="Dividendo",ROUND(J182*IFERROR(INDEX(Calcoli!$V$7:$V$21,MATCH(C182,Calcoli!$A$7:$A$21,0)),0.26),2),IF(B182="Vendita",ROUND(MAX(0,U182)*IFERROR(INDEX(Calcoli!$V$7:$V$21,MATCH(C182,Calcoli!$A$7:$A$21,0)),0.26),2),0))))</f>
        <v/>
      </c>
      <c r="L182" s="135" t="str">
        <f>IF(B182="","",IF(B182="Acquisto",-(J182+N(G182)),J182-N(G182)-K182))</f>
        <v/>
      </c>
      <c r="M182" s="127" t="str">
        <f>IF(B182="","",IF(ISNA(MATCH(C182,ETF!$A$7:$A$21,0)),"ETF?",IF(NOT(ISNUMBER(A182)),"Data?",IF(AND(B182&lt;&gt;"Dividendo",N(D182)&lt;=0),"Quote?",IF(AND(B182="Vendita",N(D182)&gt;N(Q182)+0.000001),"Quote?",IF(J182&lt;=0,"Importo?","✓"))))))</f>
        <v/>
      </c>
      <c r="N182" t="str">
        <f>IF(OR(B182="Acquisto",B182="Vendita"),COUNTIFS($C$5:C182,C182,$B$5:B182,"Acquisto")+COUNTIFS($C$5:C182,C182,$B$5:B182,"Vendita"),"")</f>
        <v/>
      </c>
      <c r="O182" t="str">
        <f>IF(N182="","",C182&amp;"|"&amp;N182)</f>
        <v/>
      </c>
      <c r="P182" t="str">
        <f>IF(N182="","",IF(N182=1,0,MATCH(C182&amp;"|"&amp;(N182-1),$O$5:$O$1004,0)))</f>
        <v/>
      </c>
      <c r="Q182" t="str">
        <f>IF(N182="","",IF(P182=0,SUMIFS(Calcoli!$C$7:$C$21,Calcoli!$A$7:$A$21,C182),INDEX($S$5:$S$1004,P182)))</f>
        <v/>
      </c>
      <c r="R182" t="str">
        <f>IF(N182="","",IF(P182=0,SUMIFS(Calcoli!$D$7:$D$21,Calcoli!$A$7:$A$21,C182),INDEX($T$5:$T$1004,P182)))</f>
        <v/>
      </c>
      <c r="S182" t="str">
        <f>IF(N182="","",IF(B182="Acquisto",Q182+N(D182),MAX(0,Q182-N(D182))))</f>
        <v/>
      </c>
      <c r="T182" t="str">
        <f>IF(N182="","",IF(B182="Acquisto",R182+J182+N(G182),IF(Q182&lt;=0,0,R182*(1-MIN(1,N(D182)/Q182)))))</f>
        <v/>
      </c>
      <c r="U182" t="str">
        <f>IF(B182&lt;&gt;"Vendita","",J182-N(G182)-IF(Q182&lt;=0,0,R182*MIN(1,N(D182)/Q182)))</f>
        <v/>
      </c>
      <c r="V182" t="str">
        <f>IF(B182&lt;&gt;"Dividendo","",IF(Calcoli!$B$251=1,J182,L182))</f>
        <v/>
      </c>
      <c r="W182" t="str">
        <f>IF(AND(V182&lt;&gt;"",ISNUMBER(A182)),A182,"")</f>
        <v/>
      </c>
    </row>
    <row r="183">
      <c r="A183" s="134" t="n"/>
      <c r="B183" s="116" t="n"/>
      <c r="C183" s="116" t="n"/>
      <c r="D183" s="121" t="n"/>
      <c r="E183" s="120" t="n"/>
      <c r="F183" s="120" t="n"/>
      <c r="G183" s="120" t="n"/>
      <c r="H183" s="120" t="n"/>
      <c r="I183" s="117" t="n"/>
      <c r="J183" s="123" t="str">
        <f>IF(B183="","",IF(F183&lt;&gt;"",N(F183),ROUND(N(D183)*N(E183),2)))</f>
        <v/>
      </c>
      <c r="K183" s="123" t="str">
        <f>IF(B183="","",IF(H183&lt;&gt;"",N(H183),IF(B183="Dividendo",ROUND(J183*IFERROR(INDEX(Calcoli!$V$7:$V$21,MATCH(C183,Calcoli!$A$7:$A$21,0)),0.26),2),IF(B183="Vendita",ROUND(MAX(0,U183)*IFERROR(INDEX(Calcoli!$V$7:$V$21,MATCH(C183,Calcoli!$A$7:$A$21,0)),0.26),2),0))))</f>
        <v/>
      </c>
      <c r="L183" s="135" t="str">
        <f>IF(B183="","",IF(B183="Acquisto",-(J183+N(G183)),J183-N(G183)-K183))</f>
        <v/>
      </c>
      <c r="M183" s="127" t="str">
        <f>IF(B183="","",IF(ISNA(MATCH(C183,ETF!$A$7:$A$21,0)),"ETF?",IF(NOT(ISNUMBER(A183)),"Data?",IF(AND(B183&lt;&gt;"Dividendo",N(D183)&lt;=0),"Quote?",IF(AND(B183="Vendita",N(D183)&gt;N(Q183)+0.000001),"Quote?",IF(J183&lt;=0,"Importo?","✓"))))))</f>
        <v/>
      </c>
      <c r="N183" t="str">
        <f>IF(OR(B183="Acquisto",B183="Vendita"),COUNTIFS($C$5:C183,C183,$B$5:B183,"Acquisto")+COUNTIFS($C$5:C183,C183,$B$5:B183,"Vendita"),"")</f>
        <v/>
      </c>
      <c r="O183" t="str">
        <f>IF(N183="","",C183&amp;"|"&amp;N183)</f>
        <v/>
      </c>
      <c r="P183" t="str">
        <f>IF(N183="","",IF(N183=1,0,MATCH(C183&amp;"|"&amp;(N183-1),$O$5:$O$1004,0)))</f>
        <v/>
      </c>
      <c r="Q183" t="str">
        <f>IF(N183="","",IF(P183=0,SUMIFS(Calcoli!$C$7:$C$21,Calcoli!$A$7:$A$21,C183),INDEX($S$5:$S$1004,P183)))</f>
        <v/>
      </c>
      <c r="R183" t="str">
        <f>IF(N183="","",IF(P183=0,SUMIFS(Calcoli!$D$7:$D$21,Calcoli!$A$7:$A$21,C183),INDEX($T$5:$T$1004,P183)))</f>
        <v/>
      </c>
      <c r="S183" t="str">
        <f>IF(N183="","",IF(B183="Acquisto",Q183+N(D183),MAX(0,Q183-N(D183))))</f>
        <v/>
      </c>
      <c r="T183" t="str">
        <f>IF(N183="","",IF(B183="Acquisto",R183+J183+N(G183),IF(Q183&lt;=0,0,R183*(1-MIN(1,N(D183)/Q183)))))</f>
        <v/>
      </c>
      <c r="U183" t="str">
        <f>IF(B183&lt;&gt;"Vendita","",J183-N(G183)-IF(Q183&lt;=0,0,R183*MIN(1,N(D183)/Q183)))</f>
        <v/>
      </c>
      <c r="V183" t="str">
        <f>IF(B183&lt;&gt;"Dividendo","",IF(Calcoli!$B$251=1,J183,L183))</f>
        <v/>
      </c>
      <c r="W183" t="str">
        <f>IF(AND(V183&lt;&gt;"",ISNUMBER(A183)),A183,"")</f>
        <v/>
      </c>
    </row>
    <row r="184">
      <c r="A184" s="134" t="n"/>
      <c r="B184" s="116" t="n"/>
      <c r="C184" s="116" t="n"/>
      <c r="D184" s="121" t="n"/>
      <c r="E184" s="120" t="n"/>
      <c r="F184" s="120" t="n"/>
      <c r="G184" s="120" t="n"/>
      <c r="H184" s="120" t="n"/>
      <c r="I184" s="117" t="n"/>
      <c r="J184" s="123" t="str">
        <f>IF(B184="","",IF(F184&lt;&gt;"",N(F184),ROUND(N(D184)*N(E184),2)))</f>
        <v/>
      </c>
      <c r="K184" s="123" t="str">
        <f>IF(B184="","",IF(H184&lt;&gt;"",N(H184),IF(B184="Dividendo",ROUND(J184*IFERROR(INDEX(Calcoli!$V$7:$V$21,MATCH(C184,Calcoli!$A$7:$A$21,0)),0.26),2),IF(B184="Vendita",ROUND(MAX(0,U184)*IFERROR(INDEX(Calcoli!$V$7:$V$21,MATCH(C184,Calcoli!$A$7:$A$21,0)),0.26),2),0))))</f>
        <v/>
      </c>
      <c r="L184" s="135" t="str">
        <f>IF(B184="","",IF(B184="Acquisto",-(J184+N(G184)),J184-N(G184)-K184))</f>
        <v/>
      </c>
      <c r="M184" s="127" t="str">
        <f>IF(B184="","",IF(ISNA(MATCH(C184,ETF!$A$7:$A$21,0)),"ETF?",IF(NOT(ISNUMBER(A184)),"Data?",IF(AND(B184&lt;&gt;"Dividendo",N(D184)&lt;=0),"Quote?",IF(AND(B184="Vendita",N(D184)&gt;N(Q184)+0.000001),"Quote?",IF(J184&lt;=0,"Importo?","✓"))))))</f>
        <v/>
      </c>
      <c r="N184" t="str">
        <f>IF(OR(B184="Acquisto",B184="Vendita"),COUNTIFS($C$5:C184,C184,$B$5:B184,"Acquisto")+COUNTIFS($C$5:C184,C184,$B$5:B184,"Vendita"),"")</f>
        <v/>
      </c>
      <c r="O184" t="str">
        <f>IF(N184="","",C184&amp;"|"&amp;N184)</f>
        <v/>
      </c>
      <c r="P184" t="str">
        <f>IF(N184="","",IF(N184=1,0,MATCH(C184&amp;"|"&amp;(N184-1),$O$5:$O$1004,0)))</f>
        <v/>
      </c>
      <c r="Q184" t="str">
        <f>IF(N184="","",IF(P184=0,SUMIFS(Calcoli!$C$7:$C$21,Calcoli!$A$7:$A$21,C184),INDEX($S$5:$S$1004,P184)))</f>
        <v/>
      </c>
      <c r="R184" t="str">
        <f>IF(N184="","",IF(P184=0,SUMIFS(Calcoli!$D$7:$D$21,Calcoli!$A$7:$A$21,C184),INDEX($T$5:$T$1004,P184)))</f>
        <v/>
      </c>
      <c r="S184" t="str">
        <f>IF(N184="","",IF(B184="Acquisto",Q184+N(D184),MAX(0,Q184-N(D184))))</f>
        <v/>
      </c>
      <c r="T184" t="str">
        <f>IF(N184="","",IF(B184="Acquisto",R184+J184+N(G184),IF(Q184&lt;=0,0,R184*(1-MIN(1,N(D184)/Q184)))))</f>
        <v/>
      </c>
      <c r="U184" t="str">
        <f>IF(B184&lt;&gt;"Vendita","",J184-N(G184)-IF(Q184&lt;=0,0,R184*MIN(1,N(D184)/Q184)))</f>
        <v/>
      </c>
      <c r="V184" t="str">
        <f>IF(B184&lt;&gt;"Dividendo","",IF(Calcoli!$B$251=1,J184,L184))</f>
        <v/>
      </c>
      <c r="W184" t="str">
        <f>IF(AND(V184&lt;&gt;"",ISNUMBER(A184)),A184,"")</f>
        <v/>
      </c>
    </row>
    <row r="185">
      <c r="A185" s="134" t="n"/>
      <c r="B185" s="116" t="n"/>
      <c r="C185" s="116" t="n"/>
      <c r="D185" s="121" t="n"/>
      <c r="E185" s="120" t="n"/>
      <c r="F185" s="120" t="n"/>
      <c r="G185" s="120" t="n"/>
      <c r="H185" s="120" t="n"/>
      <c r="I185" s="117" t="n"/>
      <c r="J185" s="123" t="str">
        <f>IF(B185="","",IF(F185&lt;&gt;"",N(F185),ROUND(N(D185)*N(E185),2)))</f>
        <v/>
      </c>
      <c r="K185" s="123" t="str">
        <f>IF(B185="","",IF(H185&lt;&gt;"",N(H185),IF(B185="Dividendo",ROUND(J185*IFERROR(INDEX(Calcoli!$V$7:$V$21,MATCH(C185,Calcoli!$A$7:$A$21,0)),0.26),2),IF(B185="Vendita",ROUND(MAX(0,U185)*IFERROR(INDEX(Calcoli!$V$7:$V$21,MATCH(C185,Calcoli!$A$7:$A$21,0)),0.26),2),0))))</f>
        <v/>
      </c>
      <c r="L185" s="135" t="str">
        <f>IF(B185="","",IF(B185="Acquisto",-(J185+N(G185)),J185-N(G185)-K185))</f>
        <v/>
      </c>
      <c r="M185" s="127" t="str">
        <f>IF(B185="","",IF(ISNA(MATCH(C185,ETF!$A$7:$A$21,0)),"ETF?",IF(NOT(ISNUMBER(A185)),"Data?",IF(AND(B185&lt;&gt;"Dividendo",N(D185)&lt;=0),"Quote?",IF(AND(B185="Vendita",N(D185)&gt;N(Q185)+0.000001),"Quote?",IF(J185&lt;=0,"Importo?","✓"))))))</f>
        <v/>
      </c>
      <c r="N185" t="str">
        <f>IF(OR(B185="Acquisto",B185="Vendita"),COUNTIFS($C$5:C185,C185,$B$5:B185,"Acquisto")+COUNTIFS($C$5:C185,C185,$B$5:B185,"Vendita"),"")</f>
        <v/>
      </c>
      <c r="O185" t="str">
        <f>IF(N185="","",C185&amp;"|"&amp;N185)</f>
        <v/>
      </c>
      <c r="P185" t="str">
        <f>IF(N185="","",IF(N185=1,0,MATCH(C185&amp;"|"&amp;(N185-1),$O$5:$O$1004,0)))</f>
        <v/>
      </c>
      <c r="Q185" t="str">
        <f>IF(N185="","",IF(P185=0,SUMIFS(Calcoli!$C$7:$C$21,Calcoli!$A$7:$A$21,C185),INDEX($S$5:$S$1004,P185)))</f>
        <v/>
      </c>
      <c r="R185" t="str">
        <f>IF(N185="","",IF(P185=0,SUMIFS(Calcoli!$D$7:$D$21,Calcoli!$A$7:$A$21,C185),INDEX($T$5:$T$1004,P185)))</f>
        <v/>
      </c>
      <c r="S185" t="str">
        <f>IF(N185="","",IF(B185="Acquisto",Q185+N(D185),MAX(0,Q185-N(D185))))</f>
        <v/>
      </c>
      <c r="T185" t="str">
        <f>IF(N185="","",IF(B185="Acquisto",R185+J185+N(G185),IF(Q185&lt;=0,0,R185*(1-MIN(1,N(D185)/Q185)))))</f>
        <v/>
      </c>
      <c r="U185" t="str">
        <f>IF(B185&lt;&gt;"Vendita","",J185-N(G185)-IF(Q185&lt;=0,0,R185*MIN(1,N(D185)/Q185)))</f>
        <v/>
      </c>
      <c r="V185" t="str">
        <f>IF(B185&lt;&gt;"Dividendo","",IF(Calcoli!$B$251=1,J185,L185))</f>
        <v/>
      </c>
      <c r="W185" t="str">
        <f>IF(AND(V185&lt;&gt;"",ISNUMBER(A185)),A185,"")</f>
        <v/>
      </c>
    </row>
    <row r="186">
      <c r="A186" s="134" t="n"/>
      <c r="B186" s="116" t="n"/>
      <c r="C186" s="116" t="n"/>
      <c r="D186" s="121" t="n"/>
      <c r="E186" s="120" t="n"/>
      <c r="F186" s="120" t="n"/>
      <c r="G186" s="120" t="n"/>
      <c r="H186" s="120" t="n"/>
      <c r="I186" s="117" t="n"/>
      <c r="J186" s="123" t="str">
        <f>IF(B186="","",IF(F186&lt;&gt;"",N(F186),ROUND(N(D186)*N(E186),2)))</f>
        <v/>
      </c>
      <c r="K186" s="123" t="str">
        <f>IF(B186="","",IF(H186&lt;&gt;"",N(H186),IF(B186="Dividendo",ROUND(J186*IFERROR(INDEX(Calcoli!$V$7:$V$21,MATCH(C186,Calcoli!$A$7:$A$21,0)),0.26),2),IF(B186="Vendita",ROUND(MAX(0,U186)*IFERROR(INDEX(Calcoli!$V$7:$V$21,MATCH(C186,Calcoli!$A$7:$A$21,0)),0.26),2),0))))</f>
        <v/>
      </c>
      <c r="L186" s="135" t="str">
        <f>IF(B186="","",IF(B186="Acquisto",-(J186+N(G186)),J186-N(G186)-K186))</f>
        <v/>
      </c>
      <c r="M186" s="127" t="str">
        <f>IF(B186="","",IF(ISNA(MATCH(C186,ETF!$A$7:$A$21,0)),"ETF?",IF(NOT(ISNUMBER(A186)),"Data?",IF(AND(B186&lt;&gt;"Dividendo",N(D186)&lt;=0),"Quote?",IF(AND(B186="Vendita",N(D186)&gt;N(Q186)+0.000001),"Quote?",IF(J186&lt;=0,"Importo?","✓"))))))</f>
        <v/>
      </c>
      <c r="N186" t="str">
        <f>IF(OR(B186="Acquisto",B186="Vendita"),COUNTIFS($C$5:C186,C186,$B$5:B186,"Acquisto")+COUNTIFS($C$5:C186,C186,$B$5:B186,"Vendita"),"")</f>
        <v/>
      </c>
      <c r="O186" t="str">
        <f>IF(N186="","",C186&amp;"|"&amp;N186)</f>
        <v/>
      </c>
      <c r="P186" t="str">
        <f>IF(N186="","",IF(N186=1,0,MATCH(C186&amp;"|"&amp;(N186-1),$O$5:$O$1004,0)))</f>
        <v/>
      </c>
      <c r="Q186" t="str">
        <f>IF(N186="","",IF(P186=0,SUMIFS(Calcoli!$C$7:$C$21,Calcoli!$A$7:$A$21,C186),INDEX($S$5:$S$1004,P186)))</f>
        <v/>
      </c>
      <c r="R186" t="str">
        <f>IF(N186="","",IF(P186=0,SUMIFS(Calcoli!$D$7:$D$21,Calcoli!$A$7:$A$21,C186),INDEX($T$5:$T$1004,P186)))</f>
        <v/>
      </c>
      <c r="S186" t="str">
        <f>IF(N186="","",IF(B186="Acquisto",Q186+N(D186),MAX(0,Q186-N(D186))))</f>
        <v/>
      </c>
      <c r="T186" t="str">
        <f>IF(N186="","",IF(B186="Acquisto",R186+J186+N(G186),IF(Q186&lt;=0,0,R186*(1-MIN(1,N(D186)/Q186)))))</f>
        <v/>
      </c>
      <c r="U186" t="str">
        <f>IF(B186&lt;&gt;"Vendita","",J186-N(G186)-IF(Q186&lt;=0,0,R186*MIN(1,N(D186)/Q186)))</f>
        <v/>
      </c>
      <c r="V186" t="str">
        <f>IF(B186&lt;&gt;"Dividendo","",IF(Calcoli!$B$251=1,J186,L186))</f>
        <v/>
      </c>
      <c r="W186" t="str">
        <f>IF(AND(V186&lt;&gt;"",ISNUMBER(A186)),A186,"")</f>
        <v/>
      </c>
    </row>
    <row r="187">
      <c r="A187" s="134" t="n"/>
      <c r="B187" s="116" t="n"/>
      <c r="C187" s="116" t="n"/>
      <c r="D187" s="121" t="n"/>
      <c r="E187" s="120" t="n"/>
      <c r="F187" s="120" t="n"/>
      <c r="G187" s="120" t="n"/>
      <c r="H187" s="120" t="n"/>
      <c r="I187" s="117" t="n"/>
      <c r="J187" s="123" t="str">
        <f>IF(B187="","",IF(F187&lt;&gt;"",N(F187),ROUND(N(D187)*N(E187),2)))</f>
        <v/>
      </c>
      <c r="K187" s="123" t="str">
        <f>IF(B187="","",IF(H187&lt;&gt;"",N(H187),IF(B187="Dividendo",ROUND(J187*IFERROR(INDEX(Calcoli!$V$7:$V$21,MATCH(C187,Calcoli!$A$7:$A$21,0)),0.26),2),IF(B187="Vendita",ROUND(MAX(0,U187)*IFERROR(INDEX(Calcoli!$V$7:$V$21,MATCH(C187,Calcoli!$A$7:$A$21,0)),0.26),2),0))))</f>
        <v/>
      </c>
      <c r="L187" s="135" t="str">
        <f>IF(B187="","",IF(B187="Acquisto",-(J187+N(G187)),J187-N(G187)-K187))</f>
        <v/>
      </c>
      <c r="M187" s="127" t="str">
        <f>IF(B187="","",IF(ISNA(MATCH(C187,ETF!$A$7:$A$21,0)),"ETF?",IF(NOT(ISNUMBER(A187)),"Data?",IF(AND(B187&lt;&gt;"Dividendo",N(D187)&lt;=0),"Quote?",IF(AND(B187="Vendita",N(D187)&gt;N(Q187)+0.000001),"Quote?",IF(J187&lt;=0,"Importo?","✓"))))))</f>
        <v/>
      </c>
      <c r="N187" t="str">
        <f>IF(OR(B187="Acquisto",B187="Vendita"),COUNTIFS($C$5:C187,C187,$B$5:B187,"Acquisto")+COUNTIFS($C$5:C187,C187,$B$5:B187,"Vendita"),"")</f>
        <v/>
      </c>
      <c r="O187" t="str">
        <f>IF(N187="","",C187&amp;"|"&amp;N187)</f>
        <v/>
      </c>
      <c r="P187" t="str">
        <f>IF(N187="","",IF(N187=1,0,MATCH(C187&amp;"|"&amp;(N187-1),$O$5:$O$1004,0)))</f>
        <v/>
      </c>
      <c r="Q187" t="str">
        <f>IF(N187="","",IF(P187=0,SUMIFS(Calcoli!$C$7:$C$21,Calcoli!$A$7:$A$21,C187),INDEX($S$5:$S$1004,P187)))</f>
        <v/>
      </c>
      <c r="R187" t="str">
        <f>IF(N187="","",IF(P187=0,SUMIFS(Calcoli!$D$7:$D$21,Calcoli!$A$7:$A$21,C187),INDEX($T$5:$T$1004,P187)))</f>
        <v/>
      </c>
      <c r="S187" t="str">
        <f>IF(N187="","",IF(B187="Acquisto",Q187+N(D187),MAX(0,Q187-N(D187))))</f>
        <v/>
      </c>
      <c r="T187" t="str">
        <f>IF(N187="","",IF(B187="Acquisto",R187+J187+N(G187),IF(Q187&lt;=0,0,R187*(1-MIN(1,N(D187)/Q187)))))</f>
        <v/>
      </c>
      <c r="U187" t="str">
        <f>IF(B187&lt;&gt;"Vendita","",J187-N(G187)-IF(Q187&lt;=0,0,R187*MIN(1,N(D187)/Q187)))</f>
        <v/>
      </c>
      <c r="V187" t="str">
        <f>IF(B187&lt;&gt;"Dividendo","",IF(Calcoli!$B$251=1,J187,L187))</f>
        <v/>
      </c>
      <c r="W187" t="str">
        <f>IF(AND(V187&lt;&gt;"",ISNUMBER(A187)),A187,"")</f>
        <v/>
      </c>
    </row>
    <row r="188">
      <c r="A188" s="134" t="n"/>
      <c r="B188" s="116" t="n"/>
      <c r="C188" s="116" t="n"/>
      <c r="D188" s="121" t="n"/>
      <c r="E188" s="120" t="n"/>
      <c r="F188" s="120" t="n"/>
      <c r="G188" s="120" t="n"/>
      <c r="H188" s="120" t="n"/>
      <c r="I188" s="117" t="n"/>
      <c r="J188" s="123" t="str">
        <f>IF(B188="","",IF(F188&lt;&gt;"",N(F188),ROUND(N(D188)*N(E188),2)))</f>
        <v/>
      </c>
      <c r="K188" s="123" t="str">
        <f>IF(B188="","",IF(H188&lt;&gt;"",N(H188),IF(B188="Dividendo",ROUND(J188*IFERROR(INDEX(Calcoli!$V$7:$V$21,MATCH(C188,Calcoli!$A$7:$A$21,0)),0.26),2),IF(B188="Vendita",ROUND(MAX(0,U188)*IFERROR(INDEX(Calcoli!$V$7:$V$21,MATCH(C188,Calcoli!$A$7:$A$21,0)),0.26),2),0))))</f>
        <v/>
      </c>
      <c r="L188" s="135" t="str">
        <f>IF(B188="","",IF(B188="Acquisto",-(J188+N(G188)),J188-N(G188)-K188))</f>
        <v/>
      </c>
      <c r="M188" s="127" t="str">
        <f>IF(B188="","",IF(ISNA(MATCH(C188,ETF!$A$7:$A$21,0)),"ETF?",IF(NOT(ISNUMBER(A188)),"Data?",IF(AND(B188&lt;&gt;"Dividendo",N(D188)&lt;=0),"Quote?",IF(AND(B188="Vendita",N(D188)&gt;N(Q188)+0.000001),"Quote?",IF(J188&lt;=0,"Importo?","✓"))))))</f>
        <v/>
      </c>
      <c r="N188" t="str">
        <f>IF(OR(B188="Acquisto",B188="Vendita"),COUNTIFS($C$5:C188,C188,$B$5:B188,"Acquisto")+COUNTIFS($C$5:C188,C188,$B$5:B188,"Vendita"),"")</f>
        <v/>
      </c>
      <c r="O188" t="str">
        <f>IF(N188="","",C188&amp;"|"&amp;N188)</f>
        <v/>
      </c>
      <c r="P188" t="str">
        <f>IF(N188="","",IF(N188=1,0,MATCH(C188&amp;"|"&amp;(N188-1),$O$5:$O$1004,0)))</f>
        <v/>
      </c>
      <c r="Q188" t="str">
        <f>IF(N188="","",IF(P188=0,SUMIFS(Calcoli!$C$7:$C$21,Calcoli!$A$7:$A$21,C188),INDEX($S$5:$S$1004,P188)))</f>
        <v/>
      </c>
      <c r="R188" t="str">
        <f>IF(N188="","",IF(P188=0,SUMIFS(Calcoli!$D$7:$D$21,Calcoli!$A$7:$A$21,C188),INDEX($T$5:$T$1004,P188)))</f>
        <v/>
      </c>
      <c r="S188" t="str">
        <f>IF(N188="","",IF(B188="Acquisto",Q188+N(D188),MAX(0,Q188-N(D188))))</f>
        <v/>
      </c>
      <c r="T188" t="str">
        <f>IF(N188="","",IF(B188="Acquisto",R188+J188+N(G188),IF(Q188&lt;=0,0,R188*(1-MIN(1,N(D188)/Q188)))))</f>
        <v/>
      </c>
      <c r="U188" t="str">
        <f>IF(B188&lt;&gt;"Vendita","",J188-N(G188)-IF(Q188&lt;=0,0,R188*MIN(1,N(D188)/Q188)))</f>
        <v/>
      </c>
      <c r="V188" t="str">
        <f>IF(B188&lt;&gt;"Dividendo","",IF(Calcoli!$B$251=1,J188,L188))</f>
        <v/>
      </c>
      <c r="W188" t="str">
        <f>IF(AND(V188&lt;&gt;"",ISNUMBER(A188)),A188,"")</f>
        <v/>
      </c>
    </row>
    <row r="189">
      <c r="A189" s="134" t="n"/>
      <c r="B189" s="116" t="n"/>
      <c r="C189" s="116" t="n"/>
      <c r="D189" s="121" t="n"/>
      <c r="E189" s="120" t="n"/>
      <c r="F189" s="120" t="n"/>
      <c r="G189" s="120" t="n"/>
      <c r="H189" s="120" t="n"/>
      <c r="I189" s="117" t="n"/>
      <c r="J189" s="123" t="str">
        <f>IF(B189="","",IF(F189&lt;&gt;"",N(F189),ROUND(N(D189)*N(E189),2)))</f>
        <v/>
      </c>
      <c r="K189" s="123" t="str">
        <f>IF(B189="","",IF(H189&lt;&gt;"",N(H189),IF(B189="Dividendo",ROUND(J189*IFERROR(INDEX(Calcoli!$V$7:$V$21,MATCH(C189,Calcoli!$A$7:$A$21,0)),0.26),2),IF(B189="Vendita",ROUND(MAX(0,U189)*IFERROR(INDEX(Calcoli!$V$7:$V$21,MATCH(C189,Calcoli!$A$7:$A$21,0)),0.26),2),0))))</f>
        <v/>
      </c>
      <c r="L189" s="135" t="str">
        <f>IF(B189="","",IF(B189="Acquisto",-(J189+N(G189)),J189-N(G189)-K189))</f>
        <v/>
      </c>
      <c r="M189" s="127" t="str">
        <f>IF(B189="","",IF(ISNA(MATCH(C189,ETF!$A$7:$A$21,0)),"ETF?",IF(NOT(ISNUMBER(A189)),"Data?",IF(AND(B189&lt;&gt;"Dividendo",N(D189)&lt;=0),"Quote?",IF(AND(B189="Vendita",N(D189)&gt;N(Q189)+0.000001),"Quote?",IF(J189&lt;=0,"Importo?","✓"))))))</f>
        <v/>
      </c>
      <c r="N189" t="str">
        <f>IF(OR(B189="Acquisto",B189="Vendita"),COUNTIFS($C$5:C189,C189,$B$5:B189,"Acquisto")+COUNTIFS($C$5:C189,C189,$B$5:B189,"Vendita"),"")</f>
        <v/>
      </c>
      <c r="O189" t="str">
        <f>IF(N189="","",C189&amp;"|"&amp;N189)</f>
        <v/>
      </c>
      <c r="P189" t="str">
        <f>IF(N189="","",IF(N189=1,0,MATCH(C189&amp;"|"&amp;(N189-1),$O$5:$O$1004,0)))</f>
        <v/>
      </c>
      <c r="Q189" t="str">
        <f>IF(N189="","",IF(P189=0,SUMIFS(Calcoli!$C$7:$C$21,Calcoli!$A$7:$A$21,C189),INDEX($S$5:$S$1004,P189)))</f>
        <v/>
      </c>
      <c r="R189" t="str">
        <f>IF(N189="","",IF(P189=0,SUMIFS(Calcoli!$D$7:$D$21,Calcoli!$A$7:$A$21,C189),INDEX($T$5:$T$1004,P189)))</f>
        <v/>
      </c>
      <c r="S189" t="str">
        <f>IF(N189="","",IF(B189="Acquisto",Q189+N(D189),MAX(0,Q189-N(D189))))</f>
        <v/>
      </c>
      <c r="T189" t="str">
        <f>IF(N189="","",IF(B189="Acquisto",R189+J189+N(G189),IF(Q189&lt;=0,0,R189*(1-MIN(1,N(D189)/Q189)))))</f>
        <v/>
      </c>
      <c r="U189" t="str">
        <f>IF(B189&lt;&gt;"Vendita","",J189-N(G189)-IF(Q189&lt;=0,0,R189*MIN(1,N(D189)/Q189)))</f>
        <v/>
      </c>
      <c r="V189" t="str">
        <f>IF(B189&lt;&gt;"Dividendo","",IF(Calcoli!$B$251=1,J189,L189))</f>
        <v/>
      </c>
      <c r="W189" t="str">
        <f>IF(AND(V189&lt;&gt;"",ISNUMBER(A189)),A189,"")</f>
        <v/>
      </c>
    </row>
    <row r="190">
      <c r="A190" s="134" t="n"/>
      <c r="B190" s="116" t="n"/>
      <c r="C190" s="116" t="n"/>
      <c r="D190" s="121" t="n"/>
      <c r="E190" s="120" t="n"/>
      <c r="F190" s="120" t="n"/>
      <c r="G190" s="120" t="n"/>
      <c r="H190" s="120" t="n"/>
      <c r="I190" s="117" t="n"/>
      <c r="J190" s="123" t="str">
        <f>IF(B190="","",IF(F190&lt;&gt;"",N(F190),ROUND(N(D190)*N(E190),2)))</f>
        <v/>
      </c>
      <c r="K190" s="123" t="str">
        <f>IF(B190="","",IF(H190&lt;&gt;"",N(H190),IF(B190="Dividendo",ROUND(J190*IFERROR(INDEX(Calcoli!$V$7:$V$21,MATCH(C190,Calcoli!$A$7:$A$21,0)),0.26),2),IF(B190="Vendita",ROUND(MAX(0,U190)*IFERROR(INDEX(Calcoli!$V$7:$V$21,MATCH(C190,Calcoli!$A$7:$A$21,0)),0.26),2),0))))</f>
        <v/>
      </c>
      <c r="L190" s="135" t="str">
        <f>IF(B190="","",IF(B190="Acquisto",-(J190+N(G190)),J190-N(G190)-K190))</f>
        <v/>
      </c>
      <c r="M190" s="127" t="str">
        <f>IF(B190="","",IF(ISNA(MATCH(C190,ETF!$A$7:$A$21,0)),"ETF?",IF(NOT(ISNUMBER(A190)),"Data?",IF(AND(B190&lt;&gt;"Dividendo",N(D190)&lt;=0),"Quote?",IF(AND(B190="Vendita",N(D190)&gt;N(Q190)+0.000001),"Quote?",IF(J190&lt;=0,"Importo?","✓"))))))</f>
        <v/>
      </c>
      <c r="N190" t="str">
        <f>IF(OR(B190="Acquisto",B190="Vendita"),COUNTIFS($C$5:C190,C190,$B$5:B190,"Acquisto")+COUNTIFS($C$5:C190,C190,$B$5:B190,"Vendita"),"")</f>
        <v/>
      </c>
      <c r="O190" t="str">
        <f>IF(N190="","",C190&amp;"|"&amp;N190)</f>
        <v/>
      </c>
      <c r="P190" t="str">
        <f>IF(N190="","",IF(N190=1,0,MATCH(C190&amp;"|"&amp;(N190-1),$O$5:$O$1004,0)))</f>
        <v/>
      </c>
      <c r="Q190" t="str">
        <f>IF(N190="","",IF(P190=0,SUMIFS(Calcoli!$C$7:$C$21,Calcoli!$A$7:$A$21,C190),INDEX($S$5:$S$1004,P190)))</f>
        <v/>
      </c>
      <c r="R190" t="str">
        <f>IF(N190="","",IF(P190=0,SUMIFS(Calcoli!$D$7:$D$21,Calcoli!$A$7:$A$21,C190),INDEX($T$5:$T$1004,P190)))</f>
        <v/>
      </c>
      <c r="S190" t="str">
        <f>IF(N190="","",IF(B190="Acquisto",Q190+N(D190),MAX(0,Q190-N(D190))))</f>
        <v/>
      </c>
      <c r="T190" t="str">
        <f>IF(N190="","",IF(B190="Acquisto",R190+J190+N(G190),IF(Q190&lt;=0,0,R190*(1-MIN(1,N(D190)/Q190)))))</f>
        <v/>
      </c>
      <c r="U190" t="str">
        <f>IF(B190&lt;&gt;"Vendita","",J190-N(G190)-IF(Q190&lt;=0,0,R190*MIN(1,N(D190)/Q190)))</f>
        <v/>
      </c>
      <c r="V190" t="str">
        <f>IF(B190&lt;&gt;"Dividendo","",IF(Calcoli!$B$251=1,J190,L190))</f>
        <v/>
      </c>
      <c r="W190" t="str">
        <f>IF(AND(V190&lt;&gt;"",ISNUMBER(A190)),A190,"")</f>
        <v/>
      </c>
    </row>
    <row r="191">
      <c r="A191" s="134" t="n"/>
      <c r="B191" s="116" t="n"/>
      <c r="C191" s="116" t="n"/>
      <c r="D191" s="121" t="n"/>
      <c r="E191" s="120" t="n"/>
      <c r="F191" s="120" t="n"/>
      <c r="G191" s="120" t="n"/>
      <c r="H191" s="120" t="n"/>
      <c r="I191" s="117" t="n"/>
      <c r="J191" s="123" t="str">
        <f>IF(B191="","",IF(F191&lt;&gt;"",N(F191),ROUND(N(D191)*N(E191),2)))</f>
        <v/>
      </c>
      <c r="K191" s="123" t="str">
        <f>IF(B191="","",IF(H191&lt;&gt;"",N(H191),IF(B191="Dividendo",ROUND(J191*IFERROR(INDEX(Calcoli!$V$7:$V$21,MATCH(C191,Calcoli!$A$7:$A$21,0)),0.26),2),IF(B191="Vendita",ROUND(MAX(0,U191)*IFERROR(INDEX(Calcoli!$V$7:$V$21,MATCH(C191,Calcoli!$A$7:$A$21,0)),0.26),2),0))))</f>
        <v/>
      </c>
      <c r="L191" s="135" t="str">
        <f>IF(B191="","",IF(B191="Acquisto",-(J191+N(G191)),J191-N(G191)-K191))</f>
        <v/>
      </c>
      <c r="M191" s="127" t="str">
        <f>IF(B191="","",IF(ISNA(MATCH(C191,ETF!$A$7:$A$21,0)),"ETF?",IF(NOT(ISNUMBER(A191)),"Data?",IF(AND(B191&lt;&gt;"Dividendo",N(D191)&lt;=0),"Quote?",IF(AND(B191="Vendita",N(D191)&gt;N(Q191)+0.000001),"Quote?",IF(J191&lt;=0,"Importo?","✓"))))))</f>
        <v/>
      </c>
      <c r="N191" t="str">
        <f>IF(OR(B191="Acquisto",B191="Vendita"),COUNTIFS($C$5:C191,C191,$B$5:B191,"Acquisto")+COUNTIFS($C$5:C191,C191,$B$5:B191,"Vendita"),"")</f>
        <v/>
      </c>
      <c r="O191" t="str">
        <f>IF(N191="","",C191&amp;"|"&amp;N191)</f>
        <v/>
      </c>
      <c r="P191" t="str">
        <f>IF(N191="","",IF(N191=1,0,MATCH(C191&amp;"|"&amp;(N191-1),$O$5:$O$1004,0)))</f>
        <v/>
      </c>
      <c r="Q191" t="str">
        <f>IF(N191="","",IF(P191=0,SUMIFS(Calcoli!$C$7:$C$21,Calcoli!$A$7:$A$21,C191),INDEX($S$5:$S$1004,P191)))</f>
        <v/>
      </c>
      <c r="R191" t="str">
        <f>IF(N191="","",IF(P191=0,SUMIFS(Calcoli!$D$7:$D$21,Calcoli!$A$7:$A$21,C191),INDEX($T$5:$T$1004,P191)))</f>
        <v/>
      </c>
      <c r="S191" t="str">
        <f>IF(N191="","",IF(B191="Acquisto",Q191+N(D191),MAX(0,Q191-N(D191))))</f>
        <v/>
      </c>
      <c r="T191" t="str">
        <f>IF(N191="","",IF(B191="Acquisto",R191+J191+N(G191),IF(Q191&lt;=0,0,R191*(1-MIN(1,N(D191)/Q191)))))</f>
        <v/>
      </c>
      <c r="U191" t="str">
        <f>IF(B191&lt;&gt;"Vendita","",J191-N(G191)-IF(Q191&lt;=0,0,R191*MIN(1,N(D191)/Q191)))</f>
        <v/>
      </c>
      <c r="V191" t="str">
        <f>IF(B191&lt;&gt;"Dividendo","",IF(Calcoli!$B$251=1,J191,L191))</f>
        <v/>
      </c>
      <c r="W191" t="str">
        <f>IF(AND(V191&lt;&gt;"",ISNUMBER(A191)),A191,"")</f>
        <v/>
      </c>
    </row>
    <row r="192">
      <c r="A192" s="134" t="n"/>
      <c r="B192" s="116" t="n"/>
      <c r="C192" s="116" t="n"/>
      <c r="D192" s="121" t="n"/>
      <c r="E192" s="120" t="n"/>
      <c r="F192" s="120" t="n"/>
      <c r="G192" s="120" t="n"/>
      <c r="H192" s="120" t="n"/>
      <c r="I192" s="117" t="n"/>
      <c r="J192" s="123" t="str">
        <f>IF(B192="","",IF(F192&lt;&gt;"",N(F192),ROUND(N(D192)*N(E192),2)))</f>
        <v/>
      </c>
      <c r="K192" s="123" t="str">
        <f>IF(B192="","",IF(H192&lt;&gt;"",N(H192),IF(B192="Dividendo",ROUND(J192*IFERROR(INDEX(Calcoli!$V$7:$V$21,MATCH(C192,Calcoli!$A$7:$A$21,0)),0.26),2),IF(B192="Vendita",ROUND(MAX(0,U192)*IFERROR(INDEX(Calcoli!$V$7:$V$21,MATCH(C192,Calcoli!$A$7:$A$21,0)),0.26),2),0))))</f>
        <v/>
      </c>
      <c r="L192" s="135" t="str">
        <f>IF(B192="","",IF(B192="Acquisto",-(J192+N(G192)),J192-N(G192)-K192))</f>
        <v/>
      </c>
      <c r="M192" s="127" t="str">
        <f>IF(B192="","",IF(ISNA(MATCH(C192,ETF!$A$7:$A$21,0)),"ETF?",IF(NOT(ISNUMBER(A192)),"Data?",IF(AND(B192&lt;&gt;"Dividendo",N(D192)&lt;=0),"Quote?",IF(AND(B192="Vendita",N(D192)&gt;N(Q192)+0.000001),"Quote?",IF(J192&lt;=0,"Importo?","✓"))))))</f>
        <v/>
      </c>
      <c r="N192" t="str">
        <f>IF(OR(B192="Acquisto",B192="Vendita"),COUNTIFS($C$5:C192,C192,$B$5:B192,"Acquisto")+COUNTIFS($C$5:C192,C192,$B$5:B192,"Vendita"),"")</f>
        <v/>
      </c>
      <c r="O192" t="str">
        <f>IF(N192="","",C192&amp;"|"&amp;N192)</f>
        <v/>
      </c>
      <c r="P192" t="str">
        <f>IF(N192="","",IF(N192=1,0,MATCH(C192&amp;"|"&amp;(N192-1),$O$5:$O$1004,0)))</f>
        <v/>
      </c>
      <c r="Q192" t="str">
        <f>IF(N192="","",IF(P192=0,SUMIFS(Calcoli!$C$7:$C$21,Calcoli!$A$7:$A$21,C192),INDEX($S$5:$S$1004,P192)))</f>
        <v/>
      </c>
      <c r="R192" t="str">
        <f>IF(N192="","",IF(P192=0,SUMIFS(Calcoli!$D$7:$D$21,Calcoli!$A$7:$A$21,C192),INDEX($T$5:$T$1004,P192)))</f>
        <v/>
      </c>
      <c r="S192" t="str">
        <f>IF(N192="","",IF(B192="Acquisto",Q192+N(D192),MAX(0,Q192-N(D192))))</f>
        <v/>
      </c>
      <c r="T192" t="str">
        <f>IF(N192="","",IF(B192="Acquisto",R192+J192+N(G192),IF(Q192&lt;=0,0,R192*(1-MIN(1,N(D192)/Q192)))))</f>
        <v/>
      </c>
      <c r="U192" t="str">
        <f>IF(B192&lt;&gt;"Vendita","",J192-N(G192)-IF(Q192&lt;=0,0,R192*MIN(1,N(D192)/Q192)))</f>
        <v/>
      </c>
      <c r="V192" t="str">
        <f>IF(B192&lt;&gt;"Dividendo","",IF(Calcoli!$B$251=1,J192,L192))</f>
        <v/>
      </c>
      <c r="W192" t="str">
        <f>IF(AND(V192&lt;&gt;"",ISNUMBER(A192)),A192,"")</f>
        <v/>
      </c>
    </row>
    <row r="193">
      <c r="A193" s="134" t="n"/>
      <c r="B193" s="116" t="n"/>
      <c r="C193" s="116" t="n"/>
      <c r="D193" s="121" t="n"/>
      <c r="E193" s="120" t="n"/>
      <c r="F193" s="120" t="n"/>
      <c r="G193" s="120" t="n"/>
      <c r="H193" s="120" t="n"/>
      <c r="I193" s="117" t="n"/>
      <c r="J193" s="123" t="str">
        <f>IF(B193="","",IF(F193&lt;&gt;"",N(F193),ROUND(N(D193)*N(E193),2)))</f>
        <v/>
      </c>
      <c r="K193" s="123" t="str">
        <f>IF(B193="","",IF(H193&lt;&gt;"",N(H193),IF(B193="Dividendo",ROUND(J193*IFERROR(INDEX(Calcoli!$V$7:$V$21,MATCH(C193,Calcoli!$A$7:$A$21,0)),0.26),2),IF(B193="Vendita",ROUND(MAX(0,U193)*IFERROR(INDEX(Calcoli!$V$7:$V$21,MATCH(C193,Calcoli!$A$7:$A$21,0)),0.26),2),0))))</f>
        <v/>
      </c>
      <c r="L193" s="135" t="str">
        <f>IF(B193="","",IF(B193="Acquisto",-(J193+N(G193)),J193-N(G193)-K193))</f>
        <v/>
      </c>
      <c r="M193" s="127" t="str">
        <f>IF(B193="","",IF(ISNA(MATCH(C193,ETF!$A$7:$A$21,0)),"ETF?",IF(NOT(ISNUMBER(A193)),"Data?",IF(AND(B193&lt;&gt;"Dividendo",N(D193)&lt;=0),"Quote?",IF(AND(B193="Vendita",N(D193)&gt;N(Q193)+0.000001),"Quote?",IF(J193&lt;=0,"Importo?","✓"))))))</f>
        <v/>
      </c>
      <c r="N193" t="str">
        <f>IF(OR(B193="Acquisto",B193="Vendita"),COUNTIFS($C$5:C193,C193,$B$5:B193,"Acquisto")+COUNTIFS($C$5:C193,C193,$B$5:B193,"Vendita"),"")</f>
        <v/>
      </c>
      <c r="O193" t="str">
        <f>IF(N193="","",C193&amp;"|"&amp;N193)</f>
        <v/>
      </c>
      <c r="P193" t="str">
        <f>IF(N193="","",IF(N193=1,0,MATCH(C193&amp;"|"&amp;(N193-1),$O$5:$O$1004,0)))</f>
        <v/>
      </c>
      <c r="Q193" t="str">
        <f>IF(N193="","",IF(P193=0,SUMIFS(Calcoli!$C$7:$C$21,Calcoli!$A$7:$A$21,C193),INDEX($S$5:$S$1004,P193)))</f>
        <v/>
      </c>
      <c r="R193" t="str">
        <f>IF(N193="","",IF(P193=0,SUMIFS(Calcoli!$D$7:$D$21,Calcoli!$A$7:$A$21,C193),INDEX($T$5:$T$1004,P193)))</f>
        <v/>
      </c>
      <c r="S193" t="str">
        <f>IF(N193="","",IF(B193="Acquisto",Q193+N(D193),MAX(0,Q193-N(D193))))</f>
        <v/>
      </c>
      <c r="T193" t="str">
        <f>IF(N193="","",IF(B193="Acquisto",R193+J193+N(G193),IF(Q193&lt;=0,0,R193*(1-MIN(1,N(D193)/Q193)))))</f>
        <v/>
      </c>
      <c r="U193" t="str">
        <f>IF(B193&lt;&gt;"Vendita","",J193-N(G193)-IF(Q193&lt;=0,0,R193*MIN(1,N(D193)/Q193)))</f>
        <v/>
      </c>
      <c r="V193" t="str">
        <f>IF(B193&lt;&gt;"Dividendo","",IF(Calcoli!$B$251=1,J193,L193))</f>
        <v/>
      </c>
      <c r="W193" t="str">
        <f>IF(AND(V193&lt;&gt;"",ISNUMBER(A193)),A193,"")</f>
        <v/>
      </c>
    </row>
    <row r="194">
      <c r="A194" s="134" t="n"/>
      <c r="B194" s="116" t="n"/>
      <c r="C194" s="116" t="n"/>
      <c r="D194" s="121" t="n"/>
      <c r="E194" s="120" t="n"/>
      <c r="F194" s="120" t="n"/>
      <c r="G194" s="120" t="n"/>
      <c r="H194" s="120" t="n"/>
      <c r="I194" s="117" t="n"/>
      <c r="J194" s="123" t="str">
        <f>IF(B194="","",IF(F194&lt;&gt;"",N(F194),ROUND(N(D194)*N(E194),2)))</f>
        <v/>
      </c>
      <c r="K194" s="123" t="str">
        <f>IF(B194="","",IF(H194&lt;&gt;"",N(H194),IF(B194="Dividendo",ROUND(J194*IFERROR(INDEX(Calcoli!$V$7:$V$21,MATCH(C194,Calcoli!$A$7:$A$21,0)),0.26),2),IF(B194="Vendita",ROUND(MAX(0,U194)*IFERROR(INDEX(Calcoli!$V$7:$V$21,MATCH(C194,Calcoli!$A$7:$A$21,0)),0.26),2),0))))</f>
        <v/>
      </c>
      <c r="L194" s="135" t="str">
        <f>IF(B194="","",IF(B194="Acquisto",-(J194+N(G194)),J194-N(G194)-K194))</f>
        <v/>
      </c>
      <c r="M194" s="127" t="str">
        <f>IF(B194="","",IF(ISNA(MATCH(C194,ETF!$A$7:$A$21,0)),"ETF?",IF(NOT(ISNUMBER(A194)),"Data?",IF(AND(B194&lt;&gt;"Dividendo",N(D194)&lt;=0),"Quote?",IF(AND(B194="Vendita",N(D194)&gt;N(Q194)+0.000001),"Quote?",IF(J194&lt;=0,"Importo?","✓"))))))</f>
        <v/>
      </c>
      <c r="N194" t="str">
        <f>IF(OR(B194="Acquisto",B194="Vendita"),COUNTIFS($C$5:C194,C194,$B$5:B194,"Acquisto")+COUNTIFS($C$5:C194,C194,$B$5:B194,"Vendita"),"")</f>
        <v/>
      </c>
      <c r="O194" t="str">
        <f>IF(N194="","",C194&amp;"|"&amp;N194)</f>
        <v/>
      </c>
      <c r="P194" t="str">
        <f>IF(N194="","",IF(N194=1,0,MATCH(C194&amp;"|"&amp;(N194-1),$O$5:$O$1004,0)))</f>
        <v/>
      </c>
      <c r="Q194" t="str">
        <f>IF(N194="","",IF(P194=0,SUMIFS(Calcoli!$C$7:$C$21,Calcoli!$A$7:$A$21,C194),INDEX($S$5:$S$1004,P194)))</f>
        <v/>
      </c>
      <c r="R194" t="str">
        <f>IF(N194="","",IF(P194=0,SUMIFS(Calcoli!$D$7:$D$21,Calcoli!$A$7:$A$21,C194),INDEX($T$5:$T$1004,P194)))</f>
        <v/>
      </c>
      <c r="S194" t="str">
        <f>IF(N194="","",IF(B194="Acquisto",Q194+N(D194),MAX(0,Q194-N(D194))))</f>
        <v/>
      </c>
      <c r="T194" t="str">
        <f>IF(N194="","",IF(B194="Acquisto",R194+J194+N(G194),IF(Q194&lt;=0,0,R194*(1-MIN(1,N(D194)/Q194)))))</f>
        <v/>
      </c>
      <c r="U194" t="str">
        <f>IF(B194&lt;&gt;"Vendita","",J194-N(G194)-IF(Q194&lt;=0,0,R194*MIN(1,N(D194)/Q194)))</f>
        <v/>
      </c>
      <c r="V194" t="str">
        <f>IF(B194&lt;&gt;"Dividendo","",IF(Calcoli!$B$251=1,J194,L194))</f>
        <v/>
      </c>
      <c r="W194" t="str">
        <f>IF(AND(V194&lt;&gt;"",ISNUMBER(A194)),A194,"")</f>
        <v/>
      </c>
    </row>
    <row r="195">
      <c r="A195" s="134" t="n"/>
      <c r="B195" s="116" t="n"/>
      <c r="C195" s="116" t="n"/>
      <c r="D195" s="121" t="n"/>
      <c r="E195" s="120" t="n"/>
      <c r="F195" s="120" t="n"/>
      <c r="G195" s="120" t="n"/>
      <c r="H195" s="120" t="n"/>
      <c r="I195" s="117" t="n"/>
      <c r="J195" s="123" t="str">
        <f>IF(B195="","",IF(F195&lt;&gt;"",N(F195),ROUND(N(D195)*N(E195),2)))</f>
        <v/>
      </c>
      <c r="K195" s="123" t="str">
        <f>IF(B195="","",IF(H195&lt;&gt;"",N(H195),IF(B195="Dividendo",ROUND(J195*IFERROR(INDEX(Calcoli!$V$7:$V$21,MATCH(C195,Calcoli!$A$7:$A$21,0)),0.26),2),IF(B195="Vendita",ROUND(MAX(0,U195)*IFERROR(INDEX(Calcoli!$V$7:$V$21,MATCH(C195,Calcoli!$A$7:$A$21,0)),0.26),2),0))))</f>
        <v/>
      </c>
      <c r="L195" s="135" t="str">
        <f>IF(B195="","",IF(B195="Acquisto",-(J195+N(G195)),J195-N(G195)-K195))</f>
        <v/>
      </c>
      <c r="M195" s="127" t="str">
        <f>IF(B195="","",IF(ISNA(MATCH(C195,ETF!$A$7:$A$21,0)),"ETF?",IF(NOT(ISNUMBER(A195)),"Data?",IF(AND(B195&lt;&gt;"Dividendo",N(D195)&lt;=0),"Quote?",IF(AND(B195="Vendita",N(D195)&gt;N(Q195)+0.000001),"Quote?",IF(J195&lt;=0,"Importo?","✓"))))))</f>
        <v/>
      </c>
      <c r="N195" t="str">
        <f>IF(OR(B195="Acquisto",B195="Vendita"),COUNTIFS($C$5:C195,C195,$B$5:B195,"Acquisto")+COUNTIFS($C$5:C195,C195,$B$5:B195,"Vendita"),"")</f>
        <v/>
      </c>
      <c r="O195" t="str">
        <f>IF(N195="","",C195&amp;"|"&amp;N195)</f>
        <v/>
      </c>
      <c r="P195" t="str">
        <f>IF(N195="","",IF(N195=1,0,MATCH(C195&amp;"|"&amp;(N195-1),$O$5:$O$1004,0)))</f>
        <v/>
      </c>
      <c r="Q195" t="str">
        <f>IF(N195="","",IF(P195=0,SUMIFS(Calcoli!$C$7:$C$21,Calcoli!$A$7:$A$21,C195),INDEX($S$5:$S$1004,P195)))</f>
        <v/>
      </c>
      <c r="R195" t="str">
        <f>IF(N195="","",IF(P195=0,SUMIFS(Calcoli!$D$7:$D$21,Calcoli!$A$7:$A$21,C195),INDEX($T$5:$T$1004,P195)))</f>
        <v/>
      </c>
      <c r="S195" t="str">
        <f>IF(N195="","",IF(B195="Acquisto",Q195+N(D195),MAX(0,Q195-N(D195))))</f>
        <v/>
      </c>
      <c r="T195" t="str">
        <f>IF(N195="","",IF(B195="Acquisto",R195+J195+N(G195),IF(Q195&lt;=0,0,R195*(1-MIN(1,N(D195)/Q195)))))</f>
        <v/>
      </c>
      <c r="U195" t="str">
        <f>IF(B195&lt;&gt;"Vendita","",J195-N(G195)-IF(Q195&lt;=0,0,R195*MIN(1,N(D195)/Q195)))</f>
        <v/>
      </c>
      <c r="V195" t="str">
        <f>IF(B195&lt;&gt;"Dividendo","",IF(Calcoli!$B$251=1,J195,L195))</f>
        <v/>
      </c>
      <c r="W195" t="str">
        <f>IF(AND(V195&lt;&gt;"",ISNUMBER(A195)),A195,"")</f>
        <v/>
      </c>
    </row>
    <row r="196">
      <c r="A196" s="134" t="n"/>
      <c r="B196" s="116" t="n"/>
      <c r="C196" s="116" t="n"/>
      <c r="D196" s="121" t="n"/>
      <c r="E196" s="120" t="n"/>
      <c r="F196" s="120" t="n"/>
      <c r="G196" s="120" t="n"/>
      <c r="H196" s="120" t="n"/>
      <c r="I196" s="117" t="n"/>
      <c r="J196" s="123" t="str">
        <f>IF(B196="","",IF(F196&lt;&gt;"",N(F196),ROUND(N(D196)*N(E196),2)))</f>
        <v/>
      </c>
      <c r="K196" s="123" t="str">
        <f>IF(B196="","",IF(H196&lt;&gt;"",N(H196),IF(B196="Dividendo",ROUND(J196*IFERROR(INDEX(Calcoli!$V$7:$V$21,MATCH(C196,Calcoli!$A$7:$A$21,0)),0.26),2),IF(B196="Vendita",ROUND(MAX(0,U196)*IFERROR(INDEX(Calcoli!$V$7:$V$21,MATCH(C196,Calcoli!$A$7:$A$21,0)),0.26),2),0))))</f>
        <v/>
      </c>
      <c r="L196" s="135" t="str">
        <f>IF(B196="","",IF(B196="Acquisto",-(J196+N(G196)),J196-N(G196)-K196))</f>
        <v/>
      </c>
      <c r="M196" s="127" t="str">
        <f>IF(B196="","",IF(ISNA(MATCH(C196,ETF!$A$7:$A$21,0)),"ETF?",IF(NOT(ISNUMBER(A196)),"Data?",IF(AND(B196&lt;&gt;"Dividendo",N(D196)&lt;=0),"Quote?",IF(AND(B196="Vendita",N(D196)&gt;N(Q196)+0.000001),"Quote?",IF(J196&lt;=0,"Importo?","✓"))))))</f>
        <v/>
      </c>
      <c r="N196" t="str">
        <f>IF(OR(B196="Acquisto",B196="Vendita"),COUNTIFS($C$5:C196,C196,$B$5:B196,"Acquisto")+COUNTIFS($C$5:C196,C196,$B$5:B196,"Vendita"),"")</f>
        <v/>
      </c>
      <c r="O196" t="str">
        <f>IF(N196="","",C196&amp;"|"&amp;N196)</f>
        <v/>
      </c>
      <c r="P196" t="str">
        <f>IF(N196="","",IF(N196=1,0,MATCH(C196&amp;"|"&amp;(N196-1),$O$5:$O$1004,0)))</f>
        <v/>
      </c>
      <c r="Q196" t="str">
        <f>IF(N196="","",IF(P196=0,SUMIFS(Calcoli!$C$7:$C$21,Calcoli!$A$7:$A$21,C196),INDEX($S$5:$S$1004,P196)))</f>
        <v/>
      </c>
      <c r="R196" t="str">
        <f>IF(N196="","",IF(P196=0,SUMIFS(Calcoli!$D$7:$D$21,Calcoli!$A$7:$A$21,C196),INDEX($T$5:$T$1004,P196)))</f>
        <v/>
      </c>
      <c r="S196" t="str">
        <f>IF(N196="","",IF(B196="Acquisto",Q196+N(D196),MAX(0,Q196-N(D196))))</f>
        <v/>
      </c>
      <c r="T196" t="str">
        <f>IF(N196="","",IF(B196="Acquisto",R196+J196+N(G196),IF(Q196&lt;=0,0,R196*(1-MIN(1,N(D196)/Q196)))))</f>
        <v/>
      </c>
      <c r="U196" t="str">
        <f>IF(B196&lt;&gt;"Vendita","",J196-N(G196)-IF(Q196&lt;=0,0,R196*MIN(1,N(D196)/Q196)))</f>
        <v/>
      </c>
      <c r="V196" t="str">
        <f>IF(B196&lt;&gt;"Dividendo","",IF(Calcoli!$B$251=1,J196,L196))</f>
        <v/>
      </c>
      <c r="W196" t="str">
        <f>IF(AND(V196&lt;&gt;"",ISNUMBER(A196)),A196,"")</f>
        <v/>
      </c>
    </row>
    <row r="197">
      <c r="A197" s="134" t="n"/>
      <c r="B197" s="116" t="n"/>
      <c r="C197" s="116" t="n"/>
      <c r="D197" s="121" t="n"/>
      <c r="E197" s="120" t="n"/>
      <c r="F197" s="120" t="n"/>
      <c r="G197" s="120" t="n"/>
      <c r="H197" s="120" t="n"/>
      <c r="I197" s="117" t="n"/>
      <c r="J197" s="123" t="str">
        <f>IF(B197="","",IF(F197&lt;&gt;"",N(F197),ROUND(N(D197)*N(E197),2)))</f>
        <v/>
      </c>
      <c r="K197" s="123" t="str">
        <f>IF(B197="","",IF(H197&lt;&gt;"",N(H197),IF(B197="Dividendo",ROUND(J197*IFERROR(INDEX(Calcoli!$V$7:$V$21,MATCH(C197,Calcoli!$A$7:$A$21,0)),0.26),2),IF(B197="Vendita",ROUND(MAX(0,U197)*IFERROR(INDEX(Calcoli!$V$7:$V$21,MATCH(C197,Calcoli!$A$7:$A$21,0)),0.26),2),0))))</f>
        <v/>
      </c>
      <c r="L197" s="135" t="str">
        <f>IF(B197="","",IF(B197="Acquisto",-(J197+N(G197)),J197-N(G197)-K197))</f>
        <v/>
      </c>
      <c r="M197" s="127" t="str">
        <f>IF(B197="","",IF(ISNA(MATCH(C197,ETF!$A$7:$A$21,0)),"ETF?",IF(NOT(ISNUMBER(A197)),"Data?",IF(AND(B197&lt;&gt;"Dividendo",N(D197)&lt;=0),"Quote?",IF(AND(B197="Vendita",N(D197)&gt;N(Q197)+0.000001),"Quote?",IF(J197&lt;=0,"Importo?","✓"))))))</f>
        <v/>
      </c>
      <c r="N197" t="str">
        <f>IF(OR(B197="Acquisto",B197="Vendita"),COUNTIFS($C$5:C197,C197,$B$5:B197,"Acquisto")+COUNTIFS($C$5:C197,C197,$B$5:B197,"Vendita"),"")</f>
        <v/>
      </c>
      <c r="O197" t="str">
        <f>IF(N197="","",C197&amp;"|"&amp;N197)</f>
        <v/>
      </c>
      <c r="P197" t="str">
        <f>IF(N197="","",IF(N197=1,0,MATCH(C197&amp;"|"&amp;(N197-1),$O$5:$O$1004,0)))</f>
        <v/>
      </c>
      <c r="Q197" t="str">
        <f>IF(N197="","",IF(P197=0,SUMIFS(Calcoli!$C$7:$C$21,Calcoli!$A$7:$A$21,C197),INDEX($S$5:$S$1004,P197)))</f>
        <v/>
      </c>
      <c r="R197" t="str">
        <f>IF(N197="","",IF(P197=0,SUMIFS(Calcoli!$D$7:$D$21,Calcoli!$A$7:$A$21,C197),INDEX($T$5:$T$1004,P197)))</f>
        <v/>
      </c>
      <c r="S197" t="str">
        <f>IF(N197="","",IF(B197="Acquisto",Q197+N(D197),MAX(0,Q197-N(D197))))</f>
        <v/>
      </c>
      <c r="T197" t="str">
        <f>IF(N197="","",IF(B197="Acquisto",R197+J197+N(G197),IF(Q197&lt;=0,0,R197*(1-MIN(1,N(D197)/Q197)))))</f>
        <v/>
      </c>
      <c r="U197" t="str">
        <f>IF(B197&lt;&gt;"Vendita","",J197-N(G197)-IF(Q197&lt;=0,0,R197*MIN(1,N(D197)/Q197)))</f>
        <v/>
      </c>
      <c r="V197" t="str">
        <f>IF(B197&lt;&gt;"Dividendo","",IF(Calcoli!$B$251=1,J197,L197))</f>
        <v/>
      </c>
      <c r="W197" t="str">
        <f>IF(AND(V197&lt;&gt;"",ISNUMBER(A197)),A197,"")</f>
        <v/>
      </c>
    </row>
    <row r="198">
      <c r="A198" s="134" t="n"/>
      <c r="B198" s="116" t="n"/>
      <c r="C198" s="116" t="n"/>
      <c r="D198" s="121" t="n"/>
      <c r="E198" s="120" t="n"/>
      <c r="F198" s="120" t="n"/>
      <c r="G198" s="120" t="n"/>
      <c r="H198" s="120" t="n"/>
      <c r="I198" s="117" t="n"/>
      <c r="J198" s="123" t="str">
        <f>IF(B198="","",IF(F198&lt;&gt;"",N(F198),ROUND(N(D198)*N(E198),2)))</f>
        <v/>
      </c>
      <c r="K198" s="123" t="str">
        <f>IF(B198="","",IF(H198&lt;&gt;"",N(H198),IF(B198="Dividendo",ROUND(J198*IFERROR(INDEX(Calcoli!$V$7:$V$21,MATCH(C198,Calcoli!$A$7:$A$21,0)),0.26),2),IF(B198="Vendita",ROUND(MAX(0,U198)*IFERROR(INDEX(Calcoli!$V$7:$V$21,MATCH(C198,Calcoli!$A$7:$A$21,0)),0.26),2),0))))</f>
        <v/>
      </c>
      <c r="L198" s="135" t="str">
        <f>IF(B198="","",IF(B198="Acquisto",-(J198+N(G198)),J198-N(G198)-K198))</f>
        <v/>
      </c>
      <c r="M198" s="127" t="str">
        <f>IF(B198="","",IF(ISNA(MATCH(C198,ETF!$A$7:$A$21,0)),"ETF?",IF(NOT(ISNUMBER(A198)),"Data?",IF(AND(B198&lt;&gt;"Dividendo",N(D198)&lt;=0),"Quote?",IF(AND(B198="Vendita",N(D198)&gt;N(Q198)+0.000001),"Quote?",IF(J198&lt;=0,"Importo?","✓"))))))</f>
        <v/>
      </c>
      <c r="N198" t="str">
        <f>IF(OR(B198="Acquisto",B198="Vendita"),COUNTIFS($C$5:C198,C198,$B$5:B198,"Acquisto")+COUNTIFS($C$5:C198,C198,$B$5:B198,"Vendita"),"")</f>
        <v/>
      </c>
      <c r="O198" t="str">
        <f>IF(N198="","",C198&amp;"|"&amp;N198)</f>
        <v/>
      </c>
      <c r="P198" t="str">
        <f>IF(N198="","",IF(N198=1,0,MATCH(C198&amp;"|"&amp;(N198-1),$O$5:$O$1004,0)))</f>
        <v/>
      </c>
      <c r="Q198" t="str">
        <f>IF(N198="","",IF(P198=0,SUMIFS(Calcoli!$C$7:$C$21,Calcoli!$A$7:$A$21,C198),INDEX($S$5:$S$1004,P198)))</f>
        <v/>
      </c>
      <c r="R198" t="str">
        <f>IF(N198="","",IF(P198=0,SUMIFS(Calcoli!$D$7:$D$21,Calcoli!$A$7:$A$21,C198),INDEX($T$5:$T$1004,P198)))</f>
        <v/>
      </c>
      <c r="S198" t="str">
        <f>IF(N198="","",IF(B198="Acquisto",Q198+N(D198),MAX(0,Q198-N(D198))))</f>
        <v/>
      </c>
      <c r="T198" t="str">
        <f>IF(N198="","",IF(B198="Acquisto",R198+J198+N(G198),IF(Q198&lt;=0,0,R198*(1-MIN(1,N(D198)/Q198)))))</f>
        <v/>
      </c>
      <c r="U198" t="str">
        <f>IF(B198&lt;&gt;"Vendita","",J198-N(G198)-IF(Q198&lt;=0,0,R198*MIN(1,N(D198)/Q198)))</f>
        <v/>
      </c>
      <c r="V198" t="str">
        <f>IF(B198&lt;&gt;"Dividendo","",IF(Calcoli!$B$251=1,J198,L198))</f>
        <v/>
      </c>
      <c r="W198" t="str">
        <f>IF(AND(V198&lt;&gt;"",ISNUMBER(A198)),A198,"")</f>
        <v/>
      </c>
    </row>
    <row r="199">
      <c r="A199" s="134" t="n"/>
      <c r="B199" s="116" t="n"/>
      <c r="C199" s="116" t="n"/>
      <c r="D199" s="121" t="n"/>
      <c r="E199" s="120" t="n"/>
      <c r="F199" s="120" t="n"/>
      <c r="G199" s="120" t="n"/>
      <c r="H199" s="120" t="n"/>
      <c r="I199" s="117" t="n"/>
      <c r="J199" s="123" t="str">
        <f>IF(B199="","",IF(F199&lt;&gt;"",N(F199),ROUND(N(D199)*N(E199),2)))</f>
        <v/>
      </c>
      <c r="K199" s="123" t="str">
        <f>IF(B199="","",IF(H199&lt;&gt;"",N(H199),IF(B199="Dividendo",ROUND(J199*IFERROR(INDEX(Calcoli!$V$7:$V$21,MATCH(C199,Calcoli!$A$7:$A$21,0)),0.26),2),IF(B199="Vendita",ROUND(MAX(0,U199)*IFERROR(INDEX(Calcoli!$V$7:$V$21,MATCH(C199,Calcoli!$A$7:$A$21,0)),0.26),2),0))))</f>
        <v/>
      </c>
      <c r="L199" s="135" t="str">
        <f>IF(B199="","",IF(B199="Acquisto",-(J199+N(G199)),J199-N(G199)-K199))</f>
        <v/>
      </c>
      <c r="M199" s="127" t="str">
        <f>IF(B199="","",IF(ISNA(MATCH(C199,ETF!$A$7:$A$21,0)),"ETF?",IF(NOT(ISNUMBER(A199)),"Data?",IF(AND(B199&lt;&gt;"Dividendo",N(D199)&lt;=0),"Quote?",IF(AND(B199="Vendita",N(D199)&gt;N(Q199)+0.000001),"Quote?",IF(J199&lt;=0,"Importo?","✓"))))))</f>
        <v/>
      </c>
      <c r="N199" t="str">
        <f>IF(OR(B199="Acquisto",B199="Vendita"),COUNTIFS($C$5:C199,C199,$B$5:B199,"Acquisto")+COUNTIFS($C$5:C199,C199,$B$5:B199,"Vendita"),"")</f>
        <v/>
      </c>
      <c r="O199" t="str">
        <f>IF(N199="","",C199&amp;"|"&amp;N199)</f>
        <v/>
      </c>
      <c r="P199" t="str">
        <f>IF(N199="","",IF(N199=1,0,MATCH(C199&amp;"|"&amp;(N199-1),$O$5:$O$1004,0)))</f>
        <v/>
      </c>
      <c r="Q199" t="str">
        <f>IF(N199="","",IF(P199=0,SUMIFS(Calcoli!$C$7:$C$21,Calcoli!$A$7:$A$21,C199),INDEX($S$5:$S$1004,P199)))</f>
        <v/>
      </c>
      <c r="R199" t="str">
        <f>IF(N199="","",IF(P199=0,SUMIFS(Calcoli!$D$7:$D$21,Calcoli!$A$7:$A$21,C199),INDEX($T$5:$T$1004,P199)))</f>
        <v/>
      </c>
      <c r="S199" t="str">
        <f>IF(N199="","",IF(B199="Acquisto",Q199+N(D199),MAX(0,Q199-N(D199))))</f>
        <v/>
      </c>
      <c r="T199" t="str">
        <f>IF(N199="","",IF(B199="Acquisto",R199+J199+N(G199),IF(Q199&lt;=0,0,R199*(1-MIN(1,N(D199)/Q199)))))</f>
        <v/>
      </c>
      <c r="U199" t="str">
        <f>IF(B199&lt;&gt;"Vendita","",J199-N(G199)-IF(Q199&lt;=0,0,R199*MIN(1,N(D199)/Q199)))</f>
        <v/>
      </c>
      <c r="V199" t="str">
        <f>IF(B199&lt;&gt;"Dividendo","",IF(Calcoli!$B$251=1,J199,L199))</f>
        <v/>
      </c>
      <c r="W199" t="str">
        <f>IF(AND(V199&lt;&gt;"",ISNUMBER(A199)),A199,"")</f>
        <v/>
      </c>
    </row>
    <row r="200">
      <c r="A200" s="134" t="n"/>
      <c r="B200" s="116" t="n"/>
      <c r="C200" s="116" t="n"/>
      <c r="D200" s="121" t="n"/>
      <c r="E200" s="120" t="n"/>
      <c r="F200" s="120" t="n"/>
      <c r="G200" s="120" t="n"/>
      <c r="H200" s="120" t="n"/>
      <c r="I200" s="117" t="n"/>
      <c r="J200" s="123" t="str">
        <f>IF(B200="","",IF(F200&lt;&gt;"",N(F200),ROUND(N(D200)*N(E200),2)))</f>
        <v/>
      </c>
      <c r="K200" s="123" t="str">
        <f>IF(B200="","",IF(H200&lt;&gt;"",N(H200),IF(B200="Dividendo",ROUND(J200*IFERROR(INDEX(Calcoli!$V$7:$V$21,MATCH(C200,Calcoli!$A$7:$A$21,0)),0.26),2),IF(B200="Vendita",ROUND(MAX(0,U200)*IFERROR(INDEX(Calcoli!$V$7:$V$21,MATCH(C200,Calcoli!$A$7:$A$21,0)),0.26),2),0))))</f>
        <v/>
      </c>
      <c r="L200" s="135" t="str">
        <f>IF(B200="","",IF(B200="Acquisto",-(J200+N(G200)),J200-N(G200)-K200))</f>
        <v/>
      </c>
      <c r="M200" s="127" t="str">
        <f>IF(B200="","",IF(ISNA(MATCH(C200,ETF!$A$7:$A$21,0)),"ETF?",IF(NOT(ISNUMBER(A200)),"Data?",IF(AND(B200&lt;&gt;"Dividendo",N(D200)&lt;=0),"Quote?",IF(AND(B200="Vendita",N(D200)&gt;N(Q200)+0.000001),"Quote?",IF(J200&lt;=0,"Importo?","✓"))))))</f>
        <v/>
      </c>
      <c r="N200" t="str">
        <f>IF(OR(B200="Acquisto",B200="Vendita"),COUNTIFS($C$5:C200,C200,$B$5:B200,"Acquisto")+COUNTIFS($C$5:C200,C200,$B$5:B200,"Vendita"),"")</f>
        <v/>
      </c>
      <c r="O200" t="str">
        <f>IF(N200="","",C200&amp;"|"&amp;N200)</f>
        <v/>
      </c>
      <c r="P200" t="str">
        <f>IF(N200="","",IF(N200=1,0,MATCH(C200&amp;"|"&amp;(N200-1),$O$5:$O$1004,0)))</f>
        <v/>
      </c>
      <c r="Q200" t="str">
        <f>IF(N200="","",IF(P200=0,SUMIFS(Calcoli!$C$7:$C$21,Calcoli!$A$7:$A$21,C200),INDEX($S$5:$S$1004,P200)))</f>
        <v/>
      </c>
      <c r="R200" t="str">
        <f>IF(N200="","",IF(P200=0,SUMIFS(Calcoli!$D$7:$D$21,Calcoli!$A$7:$A$21,C200),INDEX($T$5:$T$1004,P200)))</f>
        <v/>
      </c>
      <c r="S200" t="str">
        <f>IF(N200="","",IF(B200="Acquisto",Q200+N(D200),MAX(0,Q200-N(D200))))</f>
        <v/>
      </c>
      <c r="T200" t="str">
        <f>IF(N200="","",IF(B200="Acquisto",R200+J200+N(G200),IF(Q200&lt;=0,0,R200*(1-MIN(1,N(D200)/Q200)))))</f>
        <v/>
      </c>
      <c r="U200" t="str">
        <f>IF(B200&lt;&gt;"Vendita","",J200-N(G200)-IF(Q200&lt;=0,0,R200*MIN(1,N(D200)/Q200)))</f>
        <v/>
      </c>
      <c r="V200" t="str">
        <f>IF(B200&lt;&gt;"Dividendo","",IF(Calcoli!$B$251=1,J200,L200))</f>
        <v/>
      </c>
      <c r="W200" t="str">
        <f>IF(AND(V200&lt;&gt;"",ISNUMBER(A200)),A200,"")</f>
        <v/>
      </c>
    </row>
    <row r="201">
      <c r="A201" s="134" t="n"/>
      <c r="B201" s="116" t="n"/>
      <c r="C201" s="116" t="n"/>
      <c r="D201" s="121" t="n"/>
      <c r="E201" s="120" t="n"/>
      <c r="F201" s="120" t="n"/>
      <c r="G201" s="120" t="n"/>
      <c r="H201" s="120" t="n"/>
      <c r="I201" s="117" t="n"/>
      <c r="J201" s="123" t="str">
        <f>IF(B201="","",IF(F201&lt;&gt;"",N(F201),ROUND(N(D201)*N(E201),2)))</f>
        <v/>
      </c>
      <c r="K201" s="123" t="str">
        <f>IF(B201="","",IF(H201&lt;&gt;"",N(H201),IF(B201="Dividendo",ROUND(J201*IFERROR(INDEX(Calcoli!$V$7:$V$21,MATCH(C201,Calcoli!$A$7:$A$21,0)),0.26),2),IF(B201="Vendita",ROUND(MAX(0,U201)*IFERROR(INDEX(Calcoli!$V$7:$V$21,MATCH(C201,Calcoli!$A$7:$A$21,0)),0.26),2),0))))</f>
        <v/>
      </c>
      <c r="L201" s="135" t="str">
        <f>IF(B201="","",IF(B201="Acquisto",-(J201+N(G201)),J201-N(G201)-K201))</f>
        <v/>
      </c>
      <c r="M201" s="127" t="str">
        <f>IF(B201="","",IF(ISNA(MATCH(C201,ETF!$A$7:$A$21,0)),"ETF?",IF(NOT(ISNUMBER(A201)),"Data?",IF(AND(B201&lt;&gt;"Dividendo",N(D201)&lt;=0),"Quote?",IF(AND(B201="Vendita",N(D201)&gt;N(Q201)+0.000001),"Quote?",IF(J201&lt;=0,"Importo?","✓"))))))</f>
        <v/>
      </c>
      <c r="N201" t="str">
        <f>IF(OR(B201="Acquisto",B201="Vendita"),COUNTIFS($C$5:C201,C201,$B$5:B201,"Acquisto")+COUNTIFS($C$5:C201,C201,$B$5:B201,"Vendita"),"")</f>
        <v/>
      </c>
      <c r="O201" t="str">
        <f>IF(N201="","",C201&amp;"|"&amp;N201)</f>
        <v/>
      </c>
      <c r="P201" t="str">
        <f>IF(N201="","",IF(N201=1,0,MATCH(C201&amp;"|"&amp;(N201-1),$O$5:$O$1004,0)))</f>
        <v/>
      </c>
      <c r="Q201" t="str">
        <f>IF(N201="","",IF(P201=0,SUMIFS(Calcoli!$C$7:$C$21,Calcoli!$A$7:$A$21,C201),INDEX($S$5:$S$1004,P201)))</f>
        <v/>
      </c>
      <c r="R201" t="str">
        <f>IF(N201="","",IF(P201=0,SUMIFS(Calcoli!$D$7:$D$21,Calcoli!$A$7:$A$21,C201),INDEX($T$5:$T$1004,P201)))</f>
        <v/>
      </c>
      <c r="S201" t="str">
        <f>IF(N201="","",IF(B201="Acquisto",Q201+N(D201),MAX(0,Q201-N(D201))))</f>
        <v/>
      </c>
      <c r="T201" t="str">
        <f>IF(N201="","",IF(B201="Acquisto",R201+J201+N(G201),IF(Q201&lt;=0,0,R201*(1-MIN(1,N(D201)/Q201)))))</f>
        <v/>
      </c>
      <c r="U201" t="str">
        <f>IF(B201&lt;&gt;"Vendita","",J201-N(G201)-IF(Q201&lt;=0,0,R201*MIN(1,N(D201)/Q201)))</f>
        <v/>
      </c>
      <c r="V201" t="str">
        <f>IF(B201&lt;&gt;"Dividendo","",IF(Calcoli!$B$251=1,J201,L201))</f>
        <v/>
      </c>
      <c r="W201" t="str">
        <f>IF(AND(V201&lt;&gt;"",ISNUMBER(A201)),A201,"")</f>
        <v/>
      </c>
    </row>
    <row r="202">
      <c r="A202" s="134" t="n"/>
      <c r="B202" s="116" t="n"/>
      <c r="C202" s="116" t="n"/>
      <c r="D202" s="121" t="n"/>
      <c r="E202" s="120" t="n"/>
      <c r="F202" s="120" t="n"/>
      <c r="G202" s="120" t="n"/>
      <c r="H202" s="120" t="n"/>
      <c r="I202" s="117" t="n"/>
      <c r="J202" s="123" t="str">
        <f>IF(B202="","",IF(F202&lt;&gt;"",N(F202),ROUND(N(D202)*N(E202),2)))</f>
        <v/>
      </c>
      <c r="K202" s="123" t="str">
        <f>IF(B202="","",IF(H202&lt;&gt;"",N(H202),IF(B202="Dividendo",ROUND(J202*IFERROR(INDEX(Calcoli!$V$7:$V$21,MATCH(C202,Calcoli!$A$7:$A$21,0)),0.26),2),IF(B202="Vendita",ROUND(MAX(0,U202)*IFERROR(INDEX(Calcoli!$V$7:$V$21,MATCH(C202,Calcoli!$A$7:$A$21,0)),0.26),2),0))))</f>
        <v/>
      </c>
      <c r="L202" s="135" t="str">
        <f>IF(B202="","",IF(B202="Acquisto",-(J202+N(G202)),J202-N(G202)-K202))</f>
        <v/>
      </c>
      <c r="M202" s="127" t="str">
        <f>IF(B202="","",IF(ISNA(MATCH(C202,ETF!$A$7:$A$21,0)),"ETF?",IF(NOT(ISNUMBER(A202)),"Data?",IF(AND(B202&lt;&gt;"Dividendo",N(D202)&lt;=0),"Quote?",IF(AND(B202="Vendita",N(D202)&gt;N(Q202)+0.000001),"Quote?",IF(J202&lt;=0,"Importo?","✓"))))))</f>
        <v/>
      </c>
      <c r="N202" t="str">
        <f>IF(OR(B202="Acquisto",B202="Vendita"),COUNTIFS($C$5:C202,C202,$B$5:B202,"Acquisto")+COUNTIFS($C$5:C202,C202,$B$5:B202,"Vendita"),"")</f>
        <v/>
      </c>
      <c r="O202" t="str">
        <f>IF(N202="","",C202&amp;"|"&amp;N202)</f>
        <v/>
      </c>
      <c r="P202" t="str">
        <f>IF(N202="","",IF(N202=1,0,MATCH(C202&amp;"|"&amp;(N202-1),$O$5:$O$1004,0)))</f>
        <v/>
      </c>
      <c r="Q202" t="str">
        <f>IF(N202="","",IF(P202=0,SUMIFS(Calcoli!$C$7:$C$21,Calcoli!$A$7:$A$21,C202),INDEX($S$5:$S$1004,P202)))</f>
        <v/>
      </c>
      <c r="R202" t="str">
        <f>IF(N202="","",IF(P202=0,SUMIFS(Calcoli!$D$7:$D$21,Calcoli!$A$7:$A$21,C202),INDEX($T$5:$T$1004,P202)))</f>
        <v/>
      </c>
      <c r="S202" t="str">
        <f>IF(N202="","",IF(B202="Acquisto",Q202+N(D202),MAX(0,Q202-N(D202))))</f>
        <v/>
      </c>
      <c r="T202" t="str">
        <f>IF(N202="","",IF(B202="Acquisto",R202+J202+N(G202),IF(Q202&lt;=0,0,R202*(1-MIN(1,N(D202)/Q202)))))</f>
        <v/>
      </c>
      <c r="U202" t="str">
        <f>IF(B202&lt;&gt;"Vendita","",J202-N(G202)-IF(Q202&lt;=0,0,R202*MIN(1,N(D202)/Q202)))</f>
        <v/>
      </c>
      <c r="V202" t="str">
        <f>IF(B202&lt;&gt;"Dividendo","",IF(Calcoli!$B$251=1,J202,L202))</f>
        <v/>
      </c>
      <c r="W202" t="str">
        <f>IF(AND(V202&lt;&gt;"",ISNUMBER(A202)),A202,"")</f>
        <v/>
      </c>
    </row>
    <row r="203">
      <c r="A203" s="134" t="n"/>
      <c r="B203" s="116" t="n"/>
      <c r="C203" s="116" t="n"/>
      <c r="D203" s="121" t="n"/>
      <c r="E203" s="120" t="n"/>
      <c r="F203" s="120" t="n"/>
      <c r="G203" s="120" t="n"/>
      <c r="H203" s="120" t="n"/>
      <c r="I203" s="117" t="n"/>
      <c r="J203" s="123" t="str">
        <f>IF(B203="","",IF(F203&lt;&gt;"",N(F203),ROUND(N(D203)*N(E203),2)))</f>
        <v/>
      </c>
      <c r="K203" s="123" t="str">
        <f>IF(B203="","",IF(H203&lt;&gt;"",N(H203),IF(B203="Dividendo",ROUND(J203*IFERROR(INDEX(Calcoli!$V$7:$V$21,MATCH(C203,Calcoli!$A$7:$A$21,0)),0.26),2),IF(B203="Vendita",ROUND(MAX(0,U203)*IFERROR(INDEX(Calcoli!$V$7:$V$21,MATCH(C203,Calcoli!$A$7:$A$21,0)),0.26),2),0))))</f>
        <v/>
      </c>
      <c r="L203" s="135" t="str">
        <f>IF(B203="","",IF(B203="Acquisto",-(J203+N(G203)),J203-N(G203)-K203))</f>
        <v/>
      </c>
      <c r="M203" s="127" t="str">
        <f>IF(B203="","",IF(ISNA(MATCH(C203,ETF!$A$7:$A$21,0)),"ETF?",IF(NOT(ISNUMBER(A203)),"Data?",IF(AND(B203&lt;&gt;"Dividendo",N(D203)&lt;=0),"Quote?",IF(AND(B203="Vendita",N(D203)&gt;N(Q203)+0.000001),"Quote?",IF(J203&lt;=0,"Importo?","✓"))))))</f>
        <v/>
      </c>
      <c r="N203" t="str">
        <f>IF(OR(B203="Acquisto",B203="Vendita"),COUNTIFS($C$5:C203,C203,$B$5:B203,"Acquisto")+COUNTIFS($C$5:C203,C203,$B$5:B203,"Vendita"),"")</f>
        <v/>
      </c>
      <c r="O203" t="str">
        <f>IF(N203="","",C203&amp;"|"&amp;N203)</f>
        <v/>
      </c>
      <c r="P203" t="str">
        <f>IF(N203="","",IF(N203=1,0,MATCH(C203&amp;"|"&amp;(N203-1),$O$5:$O$1004,0)))</f>
        <v/>
      </c>
      <c r="Q203" t="str">
        <f>IF(N203="","",IF(P203=0,SUMIFS(Calcoli!$C$7:$C$21,Calcoli!$A$7:$A$21,C203),INDEX($S$5:$S$1004,P203)))</f>
        <v/>
      </c>
      <c r="R203" t="str">
        <f>IF(N203="","",IF(P203=0,SUMIFS(Calcoli!$D$7:$D$21,Calcoli!$A$7:$A$21,C203),INDEX($T$5:$T$1004,P203)))</f>
        <v/>
      </c>
      <c r="S203" t="str">
        <f>IF(N203="","",IF(B203="Acquisto",Q203+N(D203),MAX(0,Q203-N(D203))))</f>
        <v/>
      </c>
      <c r="T203" t="str">
        <f>IF(N203="","",IF(B203="Acquisto",R203+J203+N(G203),IF(Q203&lt;=0,0,R203*(1-MIN(1,N(D203)/Q203)))))</f>
        <v/>
      </c>
      <c r="U203" t="str">
        <f>IF(B203&lt;&gt;"Vendita","",J203-N(G203)-IF(Q203&lt;=0,0,R203*MIN(1,N(D203)/Q203)))</f>
        <v/>
      </c>
      <c r="V203" t="str">
        <f>IF(B203&lt;&gt;"Dividendo","",IF(Calcoli!$B$251=1,J203,L203))</f>
        <v/>
      </c>
      <c r="W203" t="str">
        <f>IF(AND(V203&lt;&gt;"",ISNUMBER(A203)),A203,"")</f>
        <v/>
      </c>
    </row>
    <row r="204">
      <c r="A204" s="134" t="n"/>
      <c r="B204" s="116" t="n"/>
      <c r="C204" s="116" t="n"/>
      <c r="D204" s="121" t="n"/>
      <c r="E204" s="120" t="n"/>
      <c r="F204" s="120" t="n"/>
      <c r="G204" s="120" t="n"/>
      <c r="H204" s="120" t="n"/>
      <c r="I204" s="117" t="n"/>
      <c r="J204" s="123" t="str">
        <f>IF(B204="","",IF(F204&lt;&gt;"",N(F204),ROUND(N(D204)*N(E204),2)))</f>
        <v/>
      </c>
      <c r="K204" s="123" t="str">
        <f>IF(B204="","",IF(H204&lt;&gt;"",N(H204),IF(B204="Dividendo",ROUND(J204*IFERROR(INDEX(Calcoli!$V$7:$V$21,MATCH(C204,Calcoli!$A$7:$A$21,0)),0.26),2),IF(B204="Vendita",ROUND(MAX(0,U204)*IFERROR(INDEX(Calcoli!$V$7:$V$21,MATCH(C204,Calcoli!$A$7:$A$21,0)),0.26),2),0))))</f>
        <v/>
      </c>
      <c r="L204" s="135" t="str">
        <f>IF(B204="","",IF(B204="Acquisto",-(J204+N(G204)),J204-N(G204)-K204))</f>
        <v/>
      </c>
      <c r="M204" s="127" t="str">
        <f>IF(B204="","",IF(ISNA(MATCH(C204,ETF!$A$7:$A$21,0)),"ETF?",IF(NOT(ISNUMBER(A204)),"Data?",IF(AND(B204&lt;&gt;"Dividendo",N(D204)&lt;=0),"Quote?",IF(AND(B204="Vendita",N(D204)&gt;N(Q204)+0.000001),"Quote?",IF(J204&lt;=0,"Importo?","✓"))))))</f>
        <v/>
      </c>
      <c r="N204" t="str">
        <f>IF(OR(B204="Acquisto",B204="Vendita"),COUNTIFS($C$5:C204,C204,$B$5:B204,"Acquisto")+COUNTIFS($C$5:C204,C204,$B$5:B204,"Vendita"),"")</f>
        <v/>
      </c>
      <c r="O204" t="str">
        <f>IF(N204="","",C204&amp;"|"&amp;N204)</f>
        <v/>
      </c>
      <c r="P204" t="str">
        <f>IF(N204="","",IF(N204=1,0,MATCH(C204&amp;"|"&amp;(N204-1),$O$5:$O$1004,0)))</f>
        <v/>
      </c>
      <c r="Q204" t="str">
        <f>IF(N204="","",IF(P204=0,SUMIFS(Calcoli!$C$7:$C$21,Calcoli!$A$7:$A$21,C204),INDEX($S$5:$S$1004,P204)))</f>
        <v/>
      </c>
      <c r="R204" t="str">
        <f>IF(N204="","",IF(P204=0,SUMIFS(Calcoli!$D$7:$D$21,Calcoli!$A$7:$A$21,C204),INDEX($T$5:$T$1004,P204)))</f>
        <v/>
      </c>
      <c r="S204" t="str">
        <f>IF(N204="","",IF(B204="Acquisto",Q204+N(D204),MAX(0,Q204-N(D204))))</f>
        <v/>
      </c>
      <c r="T204" t="str">
        <f>IF(N204="","",IF(B204="Acquisto",R204+J204+N(G204),IF(Q204&lt;=0,0,R204*(1-MIN(1,N(D204)/Q204)))))</f>
        <v/>
      </c>
      <c r="U204" t="str">
        <f>IF(B204&lt;&gt;"Vendita","",J204-N(G204)-IF(Q204&lt;=0,0,R204*MIN(1,N(D204)/Q204)))</f>
        <v/>
      </c>
      <c r="V204" t="str">
        <f>IF(B204&lt;&gt;"Dividendo","",IF(Calcoli!$B$251=1,J204,L204))</f>
        <v/>
      </c>
      <c r="W204" t="str">
        <f>IF(AND(V204&lt;&gt;"",ISNUMBER(A204)),A204,"")</f>
        <v/>
      </c>
    </row>
    <row r="205">
      <c r="A205" s="134" t="n"/>
      <c r="B205" s="116" t="n"/>
      <c r="C205" s="116" t="n"/>
      <c r="D205" s="121" t="n"/>
      <c r="E205" s="120" t="n"/>
      <c r="F205" s="120" t="n"/>
      <c r="G205" s="120" t="n"/>
      <c r="H205" s="120" t="n"/>
      <c r="I205" s="117" t="n"/>
      <c r="J205" s="123" t="str">
        <f>IF(B205="","",IF(F205&lt;&gt;"",N(F205),ROUND(N(D205)*N(E205),2)))</f>
        <v/>
      </c>
      <c r="K205" s="123" t="str">
        <f>IF(B205="","",IF(H205&lt;&gt;"",N(H205),IF(B205="Dividendo",ROUND(J205*IFERROR(INDEX(Calcoli!$V$7:$V$21,MATCH(C205,Calcoli!$A$7:$A$21,0)),0.26),2),IF(B205="Vendita",ROUND(MAX(0,U205)*IFERROR(INDEX(Calcoli!$V$7:$V$21,MATCH(C205,Calcoli!$A$7:$A$21,0)),0.26),2),0))))</f>
        <v/>
      </c>
      <c r="L205" s="135" t="str">
        <f>IF(B205="","",IF(B205="Acquisto",-(J205+N(G205)),J205-N(G205)-K205))</f>
        <v/>
      </c>
      <c r="M205" s="127" t="str">
        <f>IF(B205="","",IF(ISNA(MATCH(C205,ETF!$A$7:$A$21,0)),"ETF?",IF(NOT(ISNUMBER(A205)),"Data?",IF(AND(B205&lt;&gt;"Dividendo",N(D205)&lt;=0),"Quote?",IF(AND(B205="Vendita",N(D205)&gt;N(Q205)+0.000001),"Quote?",IF(J205&lt;=0,"Importo?","✓"))))))</f>
        <v/>
      </c>
      <c r="N205" t="str">
        <f>IF(OR(B205="Acquisto",B205="Vendita"),COUNTIFS($C$5:C205,C205,$B$5:B205,"Acquisto")+COUNTIFS($C$5:C205,C205,$B$5:B205,"Vendita"),"")</f>
        <v/>
      </c>
      <c r="O205" t="str">
        <f>IF(N205="","",C205&amp;"|"&amp;N205)</f>
        <v/>
      </c>
      <c r="P205" t="str">
        <f>IF(N205="","",IF(N205=1,0,MATCH(C205&amp;"|"&amp;(N205-1),$O$5:$O$1004,0)))</f>
        <v/>
      </c>
      <c r="Q205" t="str">
        <f>IF(N205="","",IF(P205=0,SUMIFS(Calcoli!$C$7:$C$21,Calcoli!$A$7:$A$21,C205),INDEX($S$5:$S$1004,P205)))</f>
        <v/>
      </c>
      <c r="R205" t="str">
        <f>IF(N205="","",IF(P205=0,SUMIFS(Calcoli!$D$7:$D$21,Calcoli!$A$7:$A$21,C205),INDEX($T$5:$T$1004,P205)))</f>
        <v/>
      </c>
      <c r="S205" t="str">
        <f>IF(N205="","",IF(B205="Acquisto",Q205+N(D205),MAX(0,Q205-N(D205))))</f>
        <v/>
      </c>
      <c r="T205" t="str">
        <f>IF(N205="","",IF(B205="Acquisto",R205+J205+N(G205),IF(Q205&lt;=0,0,R205*(1-MIN(1,N(D205)/Q205)))))</f>
        <v/>
      </c>
      <c r="U205" t="str">
        <f>IF(B205&lt;&gt;"Vendita","",J205-N(G205)-IF(Q205&lt;=0,0,R205*MIN(1,N(D205)/Q205)))</f>
        <v/>
      </c>
      <c r="V205" t="str">
        <f>IF(B205&lt;&gt;"Dividendo","",IF(Calcoli!$B$251=1,J205,L205))</f>
        <v/>
      </c>
      <c r="W205" t="str">
        <f>IF(AND(V205&lt;&gt;"",ISNUMBER(A205)),A205,"")</f>
        <v/>
      </c>
    </row>
    <row r="206">
      <c r="A206" s="134" t="n"/>
      <c r="B206" s="116" t="n"/>
      <c r="C206" s="116" t="n"/>
      <c r="D206" s="121" t="n"/>
      <c r="E206" s="120" t="n"/>
      <c r="F206" s="120" t="n"/>
      <c r="G206" s="120" t="n"/>
      <c r="H206" s="120" t="n"/>
      <c r="I206" s="117" t="n"/>
      <c r="J206" s="123" t="str">
        <f>IF(B206="","",IF(F206&lt;&gt;"",N(F206),ROUND(N(D206)*N(E206),2)))</f>
        <v/>
      </c>
      <c r="K206" s="123" t="str">
        <f>IF(B206="","",IF(H206&lt;&gt;"",N(H206),IF(B206="Dividendo",ROUND(J206*IFERROR(INDEX(Calcoli!$V$7:$V$21,MATCH(C206,Calcoli!$A$7:$A$21,0)),0.26),2),IF(B206="Vendita",ROUND(MAX(0,U206)*IFERROR(INDEX(Calcoli!$V$7:$V$21,MATCH(C206,Calcoli!$A$7:$A$21,0)),0.26),2),0))))</f>
        <v/>
      </c>
      <c r="L206" s="135" t="str">
        <f>IF(B206="","",IF(B206="Acquisto",-(J206+N(G206)),J206-N(G206)-K206))</f>
        <v/>
      </c>
      <c r="M206" s="127" t="str">
        <f>IF(B206="","",IF(ISNA(MATCH(C206,ETF!$A$7:$A$21,0)),"ETF?",IF(NOT(ISNUMBER(A206)),"Data?",IF(AND(B206&lt;&gt;"Dividendo",N(D206)&lt;=0),"Quote?",IF(AND(B206="Vendita",N(D206)&gt;N(Q206)+0.000001),"Quote?",IF(J206&lt;=0,"Importo?","✓"))))))</f>
        <v/>
      </c>
      <c r="N206" t="str">
        <f>IF(OR(B206="Acquisto",B206="Vendita"),COUNTIFS($C$5:C206,C206,$B$5:B206,"Acquisto")+COUNTIFS($C$5:C206,C206,$B$5:B206,"Vendita"),"")</f>
        <v/>
      </c>
      <c r="O206" t="str">
        <f>IF(N206="","",C206&amp;"|"&amp;N206)</f>
        <v/>
      </c>
      <c r="P206" t="str">
        <f>IF(N206="","",IF(N206=1,0,MATCH(C206&amp;"|"&amp;(N206-1),$O$5:$O$1004,0)))</f>
        <v/>
      </c>
      <c r="Q206" t="str">
        <f>IF(N206="","",IF(P206=0,SUMIFS(Calcoli!$C$7:$C$21,Calcoli!$A$7:$A$21,C206),INDEX($S$5:$S$1004,P206)))</f>
        <v/>
      </c>
      <c r="R206" t="str">
        <f>IF(N206="","",IF(P206=0,SUMIFS(Calcoli!$D$7:$D$21,Calcoli!$A$7:$A$21,C206),INDEX($T$5:$T$1004,P206)))</f>
        <v/>
      </c>
      <c r="S206" t="str">
        <f>IF(N206="","",IF(B206="Acquisto",Q206+N(D206),MAX(0,Q206-N(D206))))</f>
        <v/>
      </c>
      <c r="T206" t="str">
        <f>IF(N206="","",IF(B206="Acquisto",R206+J206+N(G206),IF(Q206&lt;=0,0,R206*(1-MIN(1,N(D206)/Q206)))))</f>
        <v/>
      </c>
      <c r="U206" t="str">
        <f>IF(B206&lt;&gt;"Vendita","",J206-N(G206)-IF(Q206&lt;=0,0,R206*MIN(1,N(D206)/Q206)))</f>
        <v/>
      </c>
      <c r="V206" t="str">
        <f>IF(B206&lt;&gt;"Dividendo","",IF(Calcoli!$B$251=1,J206,L206))</f>
        <v/>
      </c>
      <c r="W206" t="str">
        <f>IF(AND(V206&lt;&gt;"",ISNUMBER(A206)),A206,"")</f>
        <v/>
      </c>
    </row>
    <row r="207">
      <c r="A207" s="134" t="n"/>
      <c r="B207" s="116" t="n"/>
      <c r="C207" s="116" t="n"/>
      <c r="D207" s="121" t="n"/>
      <c r="E207" s="120" t="n"/>
      <c r="F207" s="120" t="n"/>
      <c r="G207" s="120" t="n"/>
      <c r="H207" s="120" t="n"/>
      <c r="I207" s="117" t="n"/>
      <c r="J207" s="123" t="str">
        <f>IF(B207="","",IF(F207&lt;&gt;"",N(F207),ROUND(N(D207)*N(E207),2)))</f>
        <v/>
      </c>
      <c r="K207" s="123" t="str">
        <f>IF(B207="","",IF(H207&lt;&gt;"",N(H207),IF(B207="Dividendo",ROUND(J207*IFERROR(INDEX(Calcoli!$V$7:$V$21,MATCH(C207,Calcoli!$A$7:$A$21,0)),0.26),2),IF(B207="Vendita",ROUND(MAX(0,U207)*IFERROR(INDEX(Calcoli!$V$7:$V$21,MATCH(C207,Calcoli!$A$7:$A$21,0)),0.26),2),0))))</f>
        <v/>
      </c>
      <c r="L207" s="135" t="str">
        <f>IF(B207="","",IF(B207="Acquisto",-(J207+N(G207)),J207-N(G207)-K207))</f>
        <v/>
      </c>
      <c r="M207" s="127" t="str">
        <f>IF(B207="","",IF(ISNA(MATCH(C207,ETF!$A$7:$A$21,0)),"ETF?",IF(NOT(ISNUMBER(A207)),"Data?",IF(AND(B207&lt;&gt;"Dividendo",N(D207)&lt;=0),"Quote?",IF(AND(B207="Vendita",N(D207)&gt;N(Q207)+0.000001),"Quote?",IF(J207&lt;=0,"Importo?","✓"))))))</f>
        <v/>
      </c>
      <c r="N207" t="str">
        <f>IF(OR(B207="Acquisto",B207="Vendita"),COUNTIFS($C$5:C207,C207,$B$5:B207,"Acquisto")+COUNTIFS($C$5:C207,C207,$B$5:B207,"Vendita"),"")</f>
        <v/>
      </c>
      <c r="O207" t="str">
        <f>IF(N207="","",C207&amp;"|"&amp;N207)</f>
        <v/>
      </c>
      <c r="P207" t="str">
        <f>IF(N207="","",IF(N207=1,0,MATCH(C207&amp;"|"&amp;(N207-1),$O$5:$O$1004,0)))</f>
        <v/>
      </c>
      <c r="Q207" t="str">
        <f>IF(N207="","",IF(P207=0,SUMIFS(Calcoli!$C$7:$C$21,Calcoli!$A$7:$A$21,C207),INDEX($S$5:$S$1004,P207)))</f>
        <v/>
      </c>
      <c r="R207" t="str">
        <f>IF(N207="","",IF(P207=0,SUMIFS(Calcoli!$D$7:$D$21,Calcoli!$A$7:$A$21,C207),INDEX($T$5:$T$1004,P207)))</f>
        <v/>
      </c>
      <c r="S207" t="str">
        <f>IF(N207="","",IF(B207="Acquisto",Q207+N(D207),MAX(0,Q207-N(D207))))</f>
        <v/>
      </c>
      <c r="T207" t="str">
        <f>IF(N207="","",IF(B207="Acquisto",R207+J207+N(G207),IF(Q207&lt;=0,0,R207*(1-MIN(1,N(D207)/Q207)))))</f>
        <v/>
      </c>
      <c r="U207" t="str">
        <f>IF(B207&lt;&gt;"Vendita","",J207-N(G207)-IF(Q207&lt;=0,0,R207*MIN(1,N(D207)/Q207)))</f>
        <v/>
      </c>
      <c r="V207" t="str">
        <f>IF(B207&lt;&gt;"Dividendo","",IF(Calcoli!$B$251=1,J207,L207))</f>
        <v/>
      </c>
      <c r="W207" t="str">
        <f>IF(AND(V207&lt;&gt;"",ISNUMBER(A207)),A207,"")</f>
        <v/>
      </c>
    </row>
    <row r="208">
      <c r="A208" s="134" t="n"/>
      <c r="B208" s="116" t="n"/>
      <c r="C208" s="116" t="n"/>
      <c r="D208" s="121" t="n"/>
      <c r="E208" s="120" t="n"/>
      <c r="F208" s="120" t="n"/>
      <c r="G208" s="120" t="n"/>
      <c r="H208" s="120" t="n"/>
      <c r="I208" s="117" t="n"/>
      <c r="J208" s="123" t="str">
        <f>IF(B208="","",IF(F208&lt;&gt;"",N(F208),ROUND(N(D208)*N(E208),2)))</f>
        <v/>
      </c>
      <c r="K208" s="123" t="str">
        <f>IF(B208="","",IF(H208&lt;&gt;"",N(H208),IF(B208="Dividendo",ROUND(J208*IFERROR(INDEX(Calcoli!$V$7:$V$21,MATCH(C208,Calcoli!$A$7:$A$21,0)),0.26),2),IF(B208="Vendita",ROUND(MAX(0,U208)*IFERROR(INDEX(Calcoli!$V$7:$V$21,MATCH(C208,Calcoli!$A$7:$A$21,0)),0.26),2),0))))</f>
        <v/>
      </c>
      <c r="L208" s="135" t="str">
        <f>IF(B208="","",IF(B208="Acquisto",-(J208+N(G208)),J208-N(G208)-K208))</f>
        <v/>
      </c>
      <c r="M208" s="127" t="str">
        <f>IF(B208="","",IF(ISNA(MATCH(C208,ETF!$A$7:$A$21,0)),"ETF?",IF(NOT(ISNUMBER(A208)),"Data?",IF(AND(B208&lt;&gt;"Dividendo",N(D208)&lt;=0),"Quote?",IF(AND(B208="Vendita",N(D208)&gt;N(Q208)+0.000001),"Quote?",IF(J208&lt;=0,"Importo?","✓"))))))</f>
        <v/>
      </c>
      <c r="N208" t="str">
        <f>IF(OR(B208="Acquisto",B208="Vendita"),COUNTIFS($C$5:C208,C208,$B$5:B208,"Acquisto")+COUNTIFS($C$5:C208,C208,$B$5:B208,"Vendita"),"")</f>
        <v/>
      </c>
      <c r="O208" t="str">
        <f>IF(N208="","",C208&amp;"|"&amp;N208)</f>
        <v/>
      </c>
      <c r="P208" t="str">
        <f>IF(N208="","",IF(N208=1,0,MATCH(C208&amp;"|"&amp;(N208-1),$O$5:$O$1004,0)))</f>
        <v/>
      </c>
      <c r="Q208" t="str">
        <f>IF(N208="","",IF(P208=0,SUMIFS(Calcoli!$C$7:$C$21,Calcoli!$A$7:$A$21,C208),INDEX($S$5:$S$1004,P208)))</f>
        <v/>
      </c>
      <c r="R208" t="str">
        <f>IF(N208="","",IF(P208=0,SUMIFS(Calcoli!$D$7:$D$21,Calcoli!$A$7:$A$21,C208),INDEX($T$5:$T$1004,P208)))</f>
        <v/>
      </c>
      <c r="S208" t="str">
        <f>IF(N208="","",IF(B208="Acquisto",Q208+N(D208),MAX(0,Q208-N(D208))))</f>
        <v/>
      </c>
      <c r="T208" t="str">
        <f>IF(N208="","",IF(B208="Acquisto",R208+J208+N(G208),IF(Q208&lt;=0,0,R208*(1-MIN(1,N(D208)/Q208)))))</f>
        <v/>
      </c>
      <c r="U208" t="str">
        <f>IF(B208&lt;&gt;"Vendita","",J208-N(G208)-IF(Q208&lt;=0,0,R208*MIN(1,N(D208)/Q208)))</f>
        <v/>
      </c>
      <c r="V208" t="str">
        <f>IF(B208&lt;&gt;"Dividendo","",IF(Calcoli!$B$251=1,J208,L208))</f>
        <v/>
      </c>
      <c r="W208" t="str">
        <f>IF(AND(V208&lt;&gt;"",ISNUMBER(A208)),A208,"")</f>
        <v/>
      </c>
    </row>
    <row r="209">
      <c r="A209" s="134" t="n"/>
      <c r="B209" s="116" t="n"/>
      <c r="C209" s="116" t="n"/>
      <c r="D209" s="121" t="n"/>
      <c r="E209" s="120" t="n"/>
      <c r="F209" s="120" t="n"/>
      <c r="G209" s="120" t="n"/>
      <c r="H209" s="120" t="n"/>
      <c r="I209" s="117" t="n"/>
      <c r="J209" s="123" t="str">
        <f>IF(B209="","",IF(F209&lt;&gt;"",N(F209),ROUND(N(D209)*N(E209),2)))</f>
        <v/>
      </c>
      <c r="K209" s="123" t="str">
        <f>IF(B209="","",IF(H209&lt;&gt;"",N(H209),IF(B209="Dividendo",ROUND(J209*IFERROR(INDEX(Calcoli!$V$7:$V$21,MATCH(C209,Calcoli!$A$7:$A$21,0)),0.26),2),IF(B209="Vendita",ROUND(MAX(0,U209)*IFERROR(INDEX(Calcoli!$V$7:$V$21,MATCH(C209,Calcoli!$A$7:$A$21,0)),0.26),2),0))))</f>
        <v/>
      </c>
      <c r="L209" s="135" t="str">
        <f>IF(B209="","",IF(B209="Acquisto",-(J209+N(G209)),J209-N(G209)-K209))</f>
        <v/>
      </c>
      <c r="M209" s="127" t="str">
        <f>IF(B209="","",IF(ISNA(MATCH(C209,ETF!$A$7:$A$21,0)),"ETF?",IF(NOT(ISNUMBER(A209)),"Data?",IF(AND(B209&lt;&gt;"Dividendo",N(D209)&lt;=0),"Quote?",IF(AND(B209="Vendita",N(D209)&gt;N(Q209)+0.000001),"Quote?",IF(J209&lt;=0,"Importo?","✓"))))))</f>
        <v/>
      </c>
      <c r="N209" t="str">
        <f>IF(OR(B209="Acquisto",B209="Vendita"),COUNTIFS($C$5:C209,C209,$B$5:B209,"Acquisto")+COUNTIFS($C$5:C209,C209,$B$5:B209,"Vendita"),"")</f>
        <v/>
      </c>
      <c r="O209" t="str">
        <f>IF(N209="","",C209&amp;"|"&amp;N209)</f>
        <v/>
      </c>
      <c r="P209" t="str">
        <f>IF(N209="","",IF(N209=1,0,MATCH(C209&amp;"|"&amp;(N209-1),$O$5:$O$1004,0)))</f>
        <v/>
      </c>
      <c r="Q209" t="str">
        <f>IF(N209="","",IF(P209=0,SUMIFS(Calcoli!$C$7:$C$21,Calcoli!$A$7:$A$21,C209),INDEX($S$5:$S$1004,P209)))</f>
        <v/>
      </c>
      <c r="R209" t="str">
        <f>IF(N209="","",IF(P209=0,SUMIFS(Calcoli!$D$7:$D$21,Calcoli!$A$7:$A$21,C209),INDEX($T$5:$T$1004,P209)))</f>
        <v/>
      </c>
      <c r="S209" t="str">
        <f>IF(N209="","",IF(B209="Acquisto",Q209+N(D209),MAX(0,Q209-N(D209))))</f>
        <v/>
      </c>
      <c r="T209" t="str">
        <f>IF(N209="","",IF(B209="Acquisto",R209+J209+N(G209),IF(Q209&lt;=0,0,R209*(1-MIN(1,N(D209)/Q209)))))</f>
        <v/>
      </c>
      <c r="U209" t="str">
        <f>IF(B209&lt;&gt;"Vendita","",J209-N(G209)-IF(Q209&lt;=0,0,R209*MIN(1,N(D209)/Q209)))</f>
        <v/>
      </c>
      <c r="V209" t="str">
        <f>IF(B209&lt;&gt;"Dividendo","",IF(Calcoli!$B$251=1,J209,L209))</f>
        <v/>
      </c>
      <c r="W209" t="str">
        <f>IF(AND(V209&lt;&gt;"",ISNUMBER(A209)),A209,"")</f>
        <v/>
      </c>
    </row>
    <row r="210">
      <c r="A210" s="134" t="n"/>
      <c r="B210" s="116" t="n"/>
      <c r="C210" s="116" t="n"/>
      <c r="D210" s="121" t="n"/>
      <c r="E210" s="120" t="n"/>
      <c r="F210" s="120" t="n"/>
      <c r="G210" s="120" t="n"/>
      <c r="H210" s="120" t="n"/>
      <c r="I210" s="117" t="n"/>
      <c r="J210" s="123" t="str">
        <f>IF(B210="","",IF(F210&lt;&gt;"",N(F210),ROUND(N(D210)*N(E210),2)))</f>
        <v/>
      </c>
      <c r="K210" s="123" t="str">
        <f>IF(B210="","",IF(H210&lt;&gt;"",N(H210),IF(B210="Dividendo",ROUND(J210*IFERROR(INDEX(Calcoli!$V$7:$V$21,MATCH(C210,Calcoli!$A$7:$A$21,0)),0.26),2),IF(B210="Vendita",ROUND(MAX(0,U210)*IFERROR(INDEX(Calcoli!$V$7:$V$21,MATCH(C210,Calcoli!$A$7:$A$21,0)),0.26),2),0))))</f>
        <v/>
      </c>
      <c r="L210" s="135" t="str">
        <f>IF(B210="","",IF(B210="Acquisto",-(J210+N(G210)),J210-N(G210)-K210))</f>
        <v/>
      </c>
      <c r="M210" s="127" t="str">
        <f>IF(B210="","",IF(ISNA(MATCH(C210,ETF!$A$7:$A$21,0)),"ETF?",IF(NOT(ISNUMBER(A210)),"Data?",IF(AND(B210&lt;&gt;"Dividendo",N(D210)&lt;=0),"Quote?",IF(AND(B210="Vendita",N(D210)&gt;N(Q210)+0.000001),"Quote?",IF(J210&lt;=0,"Importo?","✓"))))))</f>
        <v/>
      </c>
      <c r="N210" t="str">
        <f>IF(OR(B210="Acquisto",B210="Vendita"),COUNTIFS($C$5:C210,C210,$B$5:B210,"Acquisto")+COUNTIFS($C$5:C210,C210,$B$5:B210,"Vendita"),"")</f>
        <v/>
      </c>
      <c r="O210" t="str">
        <f>IF(N210="","",C210&amp;"|"&amp;N210)</f>
        <v/>
      </c>
      <c r="P210" t="str">
        <f>IF(N210="","",IF(N210=1,0,MATCH(C210&amp;"|"&amp;(N210-1),$O$5:$O$1004,0)))</f>
        <v/>
      </c>
      <c r="Q210" t="str">
        <f>IF(N210="","",IF(P210=0,SUMIFS(Calcoli!$C$7:$C$21,Calcoli!$A$7:$A$21,C210),INDEX($S$5:$S$1004,P210)))</f>
        <v/>
      </c>
      <c r="R210" t="str">
        <f>IF(N210="","",IF(P210=0,SUMIFS(Calcoli!$D$7:$D$21,Calcoli!$A$7:$A$21,C210),INDEX($T$5:$T$1004,P210)))</f>
        <v/>
      </c>
      <c r="S210" t="str">
        <f>IF(N210="","",IF(B210="Acquisto",Q210+N(D210),MAX(0,Q210-N(D210))))</f>
        <v/>
      </c>
      <c r="T210" t="str">
        <f>IF(N210="","",IF(B210="Acquisto",R210+J210+N(G210),IF(Q210&lt;=0,0,R210*(1-MIN(1,N(D210)/Q210)))))</f>
        <v/>
      </c>
      <c r="U210" t="str">
        <f>IF(B210&lt;&gt;"Vendita","",J210-N(G210)-IF(Q210&lt;=0,0,R210*MIN(1,N(D210)/Q210)))</f>
        <v/>
      </c>
      <c r="V210" t="str">
        <f>IF(B210&lt;&gt;"Dividendo","",IF(Calcoli!$B$251=1,J210,L210))</f>
        <v/>
      </c>
      <c r="W210" t="str">
        <f>IF(AND(V210&lt;&gt;"",ISNUMBER(A210)),A210,"")</f>
        <v/>
      </c>
    </row>
    <row r="211">
      <c r="A211" s="134" t="n"/>
      <c r="B211" s="116" t="n"/>
      <c r="C211" s="116" t="n"/>
      <c r="D211" s="121" t="n"/>
      <c r="E211" s="120" t="n"/>
      <c r="F211" s="120" t="n"/>
      <c r="G211" s="120" t="n"/>
      <c r="H211" s="120" t="n"/>
      <c r="I211" s="117" t="n"/>
      <c r="J211" s="123" t="str">
        <f>IF(B211="","",IF(F211&lt;&gt;"",N(F211),ROUND(N(D211)*N(E211),2)))</f>
        <v/>
      </c>
      <c r="K211" s="123" t="str">
        <f>IF(B211="","",IF(H211&lt;&gt;"",N(H211),IF(B211="Dividendo",ROUND(J211*IFERROR(INDEX(Calcoli!$V$7:$V$21,MATCH(C211,Calcoli!$A$7:$A$21,0)),0.26),2),IF(B211="Vendita",ROUND(MAX(0,U211)*IFERROR(INDEX(Calcoli!$V$7:$V$21,MATCH(C211,Calcoli!$A$7:$A$21,0)),0.26),2),0))))</f>
        <v/>
      </c>
      <c r="L211" s="135" t="str">
        <f>IF(B211="","",IF(B211="Acquisto",-(J211+N(G211)),J211-N(G211)-K211))</f>
        <v/>
      </c>
      <c r="M211" s="127" t="str">
        <f>IF(B211="","",IF(ISNA(MATCH(C211,ETF!$A$7:$A$21,0)),"ETF?",IF(NOT(ISNUMBER(A211)),"Data?",IF(AND(B211&lt;&gt;"Dividendo",N(D211)&lt;=0),"Quote?",IF(AND(B211="Vendita",N(D211)&gt;N(Q211)+0.000001),"Quote?",IF(J211&lt;=0,"Importo?","✓"))))))</f>
        <v/>
      </c>
      <c r="N211" t="str">
        <f>IF(OR(B211="Acquisto",B211="Vendita"),COUNTIFS($C$5:C211,C211,$B$5:B211,"Acquisto")+COUNTIFS($C$5:C211,C211,$B$5:B211,"Vendita"),"")</f>
        <v/>
      </c>
      <c r="O211" t="str">
        <f>IF(N211="","",C211&amp;"|"&amp;N211)</f>
        <v/>
      </c>
      <c r="P211" t="str">
        <f>IF(N211="","",IF(N211=1,0,MATCH(C211&amp;"|"&amp;(N211-1),$O$5:$O$1004,0)))</f>
        <v/>
      </c>
      <c r="Q211" t="str">
        <f>IF(N211="","",IF(P211=0,SUMIFS(Calcoli!$C$7:$C$21,Calcoli!$A$7:$A$21,C211),INDEX($S$5:$S$1004,P211)))</f>
        <v/>
      </c>
      <c r="R211" t="str">
        <f>IF(N211="","",IF(P211=0,SUMIFS(Calcoli!$D$7:$D$21,Calcoli!$A$7:$A$21,C211),INDEX($T$5:$T$1004,P211)))</f>
        <v/>
      </c>
      <c r="S211" t="str">
        <f>IF(N211="","",IF(B211="Acquisto",Q211+N(D211),MAX(0,Q211-N(D211))))</f>
        <v/>
      </c>
      <c r="T211" t="str">
        <f>IF(N211="","",IF(B211="Acquisto",R211+J211+N(G211),IF(Q211&lt;=0,0,R211*(1-MIN(1,N(D211)/Q211)))))</f>
        <v/>
      </c>
      <c r="U211" t="str">
        <f>IF(B211&lt;&gt;"Vendita","",J211-N(G211)-IF(Q211&lt;=0,0,R211*MIN(1,N(D211)/Q211)))</f>
        <v/>
      </c>
      <c r="V211" t="str">
        <f>IF(B211&lt;&gt;"Dividendo","",IF(Calcoli!$B$251=1,J211,L211))</f>
        <v/>
      </c>
      <c r="W211" t="str">
        <f>IF(AND(V211&lt;&gt;"",ISNUMBER(A211)),A211,"")</f>
        <v/>
      </c>
    </row>
    <row r="212">
      <c r="A212" s="134" t="n"/>
      <c r="B212" s="116" t="n"/>
      <c r="C212" s="116" t="n"/>
      <c r="D212" s="121" t="n"/>
      <c r="E212" s="120" t="n"/>
      <c r="F212" s="120" t="n"/>
      <c r="G212" s="120" t="n"/>
      <c r="H212" s="120" t="n"/>
      <c r="I212" s="117" t="n"/>
      <c r="J212" s="123" t="str">
        <f>IF(B212="","",IF(F212&lt;&gt;"",N(F212),ROUND(N(D212)*N(E212),2)))</f>
        <v/>
      </c>
      <c r="K212" s="123" t="str">
        <f>IF(B212="","",IF(H212&lt;&gt;"",N(H212),IF(B212="Dividendo",ROUND(J212*IFERROR(INDEX(Calcoli!$V$7:$V$21,MATCH(C212,Calcoli!$A$7:$A$21,0)),0.26),2),IF(B212="Vendita",ROUND(MAX(0,U212)*IFERROR(INDEX(Calcoli!$V$7:$V$21,MATCH(C212,Calcoli!$A$7:$A$21,0)),0.26),2),0))))</f>
        <v/>
      </c>
      <c r="L212" s="135" t="str">
        <f>IF(B212="","",IF(B212="Acquisto",-(J212+N(G212)),J212-N(G212)-K212))</f>
        <v/>
      </c>
      <c r="M212" s="127" t="str">
        <f>IF(B212="","",IF(ISNA(MATCH(C212,ETF!$A$7:$A$21,0)),"ETF?",IF(NOT(ISNUMBER(A212)),"Data?",IF(AND(B212&lt;&gt;"Dividendo",N(D212)&lt;=0),"Quote?",IF(AND(B212="Vendita",N(D212)&gt;N(Q212)+0.000001),"Quote?",IF(J212&lt;=0,"Importo?","✓"))))))</f>
        <v/>
      </c>
      <c r="N212" t="str">
        <f>IF(OR(B212="Acquisto",B212="Vendita"),COUNTIFS($C$5:C212,C212,$B$5:B212,"Acquisto")+COUNTIFS($C$5:C212,C212,$B$5:B212,"Vendita"),"")</f>
        <v/>
      </c>
      <c r="O212" t="str">
        <f>IF(N212="","",C212&amp;"|"&amp;N212)</f>
        <v/>
      </c>
      <c r="P212" t="str">
        <f>IF(N212="","",IF(N212=1,0,MATCH(C212&amp;"|"&amp;(N212-1),$O$5:$O$1004,0)))</f>
        <v/>
      </c>
      <c r="Q212" t="str">
        <f>IF(N212="","",IF(P212=0,SUMIFS(Calcoli!$C$7:$C$21,Calcoli!$A$7:$A$21,C212),INDEX($S$5:$S$1004,P212)))</f>
        <v/>
      </c>
      <c r="R212" t="str">
        <f>IF(N212="","",IF(P212=0,SUMIFS(Calcoli!$D$7:$D$21,Calcoli!$A$7:$A$21,C212),INDEX($T$5:$T$1004,P212)))</f>
        <v/>
      </c>
      <c r="S212" t="str">
        <f>IF(N212="","",IF(B212="Acquisto",Q212+N(D212),MAX(0,Q212-N(D212))))</f>
        <v/>
      </c>
      <c r="T212" t="str">
        <f>IF(N212="","",IF(B212="Acquisto",R212+J212+N(G212),IF(Q212&lt;=0,0,R212*(1-MIN(1,N(D212)/Q212)))))</f>
        <v/>
      </c>
      <c r="U212" t="str">
        <f>IF(B212&lt;&gt;"Vendita","",J212-N(G212)-IF(Q212&lt;=0,0,R212*MIN(1,N(D212)/Q212)))</f>
        <v/>
      </c>
      <c r="V212" t="str">
        <f>IF(B212&lt;&gt;"Dividendo","",IF(Calcoli!$B$251=1,J212,L212))</f>
        <v/>
      </c>
      <c r="W212" t="str">
        <f>IF(AND(V212&lt;&gt;"",ISNUMBER(A212)),A212,"")</f>
        <v/>
      </c>
    </row>
    <row r="213">
      <c r="A213" s="134" t="n"/>
      <c r="B213" s="116" t="n"/>
      <c r="C213" s="116" t="n"/>
      <c r="D213" s="121" t="n"/>
      <c r="E213" s="120" t="n"/>
      <c r="F213" s="120" t="n"/>
      <c r="G213" s="120" t="n"/>
      <c r="H213" s="120" t="n"/>
      <c r="I213" s="117" t="n"/>
      <c r="J213" s="123" t="str">
        <f>IF(B213="","",IF(F213&lt;&gt;"",N(F213),ROUND(N(D213)*N(E213),2)))</f>
        <v/>
      </c>
      <c r="K213" s="123" t="str">
        <f>IF(B213="","",IF(H213&lt;&gt;"",N(H213),IF(B213="Dividendo",ROUND(J213*IFERROR(INDEX(Calcoli!$V$7:$V$21,MATCH(C213,Calcoli!$A$7:$A$21,0)),0.26),2),IF(B213="Vendita",ROUND(MAX(0,U213)*IFERROR(INDEX(Calcoli!$V$7:$V$21,MATCH(C213,Calcoli!$A$7:$A$21,0)),0.26),2),0))))</f>
        <v/>
      </c>
      <c r="L213" s="135" t="str">
        <f>IF(B213="","",IF(B213="Acquisto",-(J213+N(G213)),J213-N(G213)-K213))</f>
        <v/>
      </c>
      <c r="M213" s="127" t="str">
        <f>IF(B213="","",IF(ISNA(MATCH(C213,ETF!$A$7:$A$21,0)),"ETF?",IF(NOT(ISNUMBER(A213)),"Data?",IF(AND(B213&lt;&gt;"Dividendo",N(D213)&lt;=0),"Quote?",IF(AND(B213="Vendita",N(D213)&gt;N(Q213)+0.000001),"Quote?",IF(J213&lt;=0,"Importo?","✓"))))))</f>
        <v/>
      </c>
      <c r="N213" t="str">
        <f>IF(OR(B213="Acquisto",B213="Vendita"),COUNTIFS($C$5:C213,C213,$B$5:B213,"Acquisto")+COUNTIFS($C$5:C213,C213,$B$5:B213,"Vendita"),"")</f>
        <v/>
      </c>
      <c r="O213" t="str">
        <f>IF(N213="","",C213&amp;"|"&amp;N213)</f>
        <v/>
      </c>
      <c r="P213" t="str">
        <f>IF(N213="","",IF(N213=1,0,MATCH(C213&amp;"|"&amp;(N213-1),$O$5:$O$1004,0)))</f>
        <v/>
      </c>
      <c r="Q213" t="str">
        <f>IF(N213="","",IF(P213=0,SUMIFS(Calcoli!$C$7:$C$21,Calcoli!$A$7:$A$21,C213),INDEX($S$5:$S$1004,P213)))</f>
        <v/>
      </c>
      <c r="R213" t="str">
        <f>IF(N213="","",IF(P213=0,SUMIFS(Calcoli!$D$7:$D$21,Calcoli!$A$7:$A$21,C213),INDEX($T$5:$T$1004,P213)))</f>
        <v/>
      </c>
      <c r="S213" t="str">
        <f>IF(N213="","",IF(B213="Acquisto",Q213+N(D213),MAX(0,Q213-N(D213))))</f>
        <v/>
      </c>
      <c r="T213" t="str">
        <f>IF(N213="","",IF(B213="Acquisto",R213+J213+N(G213),IF(Q213&lt;=0,0,R213*(1-MIN(1,N(D213)/Q213)))))</f>
        <v/>
      </c>
      <c r="U213" t="str">
        <f>IF(B213&lt;&gt;"Vendita","",J213-N(G213)-IF(Q213&lt;=0,0,R213*MIN(1,N(D213)/Q213)))</f>
        <v/>
      </c>
      <c r="V213" t="str">
        <f>IF(B213&lt;&gt;"Dividendo","",IF(Calcoli!$B$251=1,J213,L213))</f>
        <v/>
      </c>
      <c r="W213" t="str">
        <f>IF(AND(V213&lt;&gt;"",ISNUMBER(A213)),A213,"")</f>
        <v/>
      </c>
    </row>
    <row r="214">
      <c r="A214" s="134" t="n"/>
      <c r="B214" s="116" t="n"/>
      <c r="C214" s="116" t="n"/>
      <c r="D214" s="121" t="n"/>
      <c r="E214" s="120" t="n"/>
      <c r="F214" s="120" t="n"/>
      <c r="G214" s="120" t="n"/>
      <c r="H214" s="120" t="n"/>
      <c r="I214" s="117" t="n"/>
      <c r="J214" s="123" t="str">
        <f>IF(B214="","",IF(F214&lt;&gt;"",N(F214),ROUND(N(D214)*N(E214),2)))</f>
        <v/>
      </c>
      <c r="K214" s="123" t="str">
        <f>IF(B214="","",IF(H214&lt;&gt;"",N(H214),IF(B214="Dividendo",ROUND(J214*IFERROR(INDEX(Calcoli!$V$7:$V$21,MATCH(C214,Calcoli!$A$7:$A$21,0)),0.26),2),IF(B214="Vendita",ROUND(MAX(0,U214)*IFERROR(INDEX(Calcoli!$V$7:$V$21,MATCH(C214,Calcoli!$A$7:$A$21,0)),0.26),2),0))))</f>
        <v/>
      </c>
      <c r="L214" s="135" t="str">
        <f>IF(B214="","",IF(B214="Acquisto",-(J214+N(G214)),J214-N(G214)-K214))</f>
        <v/>
      </c>
      <c r="M214" s="127" t="str">
        <f>IF(B214="","",IF(ISNA(MATCH(C214,ETF!$A$7:$A$21,0)),"ETF?",IF(NOT(ISNUMBER(A214)),"Data?",IF(AND(B214&lt;&gt;"Dividendo",N(D214)&lt;=0),"Quote?",IF(AND(B214="Vendita",N(D214)&gt;N(Q214)+0.000001),"Quote?",IF(J214&lt;=0,"Importo?","✓"))))))</f>
        <v/>
      </c>
      <c r="N214" t="str">
        <f>IF(OR(B214="Acquisto",B214="Vendita"),COUNTIFS($C$5:C214,C214,$B$5:B214,"Acquisto")+COUNTIFS($C$5:C214,C214,$B$5:B214,"Vendita"),"")</f>
        <v/>
      </c>
      <c r="O214" t="str">
        <f>IF(N214="","",C214&amp;"|"&amp;N214)</f>
        <v/>
      </c>
      <c r="P214" t="str">
        <f>IF(N214="","",IF(N214=1,0,MATCH(C214&amp;"|"&amp;(N214-1),$O$5:$O$1004,0)))</f>
        <v/>
      </c>
      <c r="Q214" t="str">
        <f>IF(N214="","",IF(P214=0,SUMIFS(Calcoli!$C$7:$C$21,Calcoli!$A$7:$A$21,C214),INDEX($S$5:$S$1004,P214)))</f>
        <v/>
      </c>
      <c r="R214" t="str">
        <f>IF(N214="","",IF(P214=0,SUMIFS(Calcoli!$D$7:$D$21,Calcoli!$A$7:$A$21,C214),INDEX($T$5:$T$1004,P214)))</f>
        <v/>
      </c>
      <c r="S214" t="str">
        <f>IF(N214="","",IF(B214="Acquisto",Q214+N(D214),MAX(0,Q214-N(D214))))</f>
        <v/>
      </c>
      <c r="T214" t="str">
        <f>IF(N214="","",IF(B214="Acquisto",R214+J214+N(G214),IF(Q214&lt;=0,0,R214*(1-MIN(1,N(D214)/Q214)))))</f>
        <v/>
      </c>
      <c r="U214" t="str">
        <f>IF(B214&lt;&gt;"Vendita","",J214-N(G214)-IF(Q214&lt;=0,0,R214*MIN(1,N(D214)/Q214)))</f>
        <v/>
      </c>
      <c r="V214" t="str">
        <f>IF(B214&lt;&gt;"Dividendo","",IF(Calcoli!$B$251=1,J214,L214))</f>
        <v/>
      </c>
      <c r="W214" t="str">
        <f>IF(AND(V214&lt;&gt;"",ISNUMBER(A214)),A214,"")</f>
        <v/>
      </c>
    </row>
    <row r="215">
      <c r="A215" s="134" t="n"/>
      <c r="B215" s="116" t="n"/>
      <c r="C215" s="116" t="n"/>
      <c r="D215" s="121" t="n"/>
      <c r="E215" s="120" t="n"/>
      <c r="F215" s="120" t="n"/>
      <c r="G215" s="120" t="n"/>
      <c r="H215" s="120" t="n"/>
      <c r="I215" s="117" t="n"/>
      <c r="J215" s="123" t="str">
        <f>IF(B215="","",IF(F215&lt;&gt;"",N(F215),ROUND(N(D215)*N(E215),2)))</f>
        <v/>
      </c>
      <c r="K215" s="123" t="str">
        <f>IF(B215="","",IF(H215&lt;&gt;"",N(H215),IF(B215="Dividendo",ROUND(J215*IFERROR(INDEX(Calcoli!$V$7:$V$21,MATCH(C215,Calcoli!$A$7:$A$21,0)),0.26),2),IF(B215="Vendita",ROUND(MAX(0,U215)*IFERROR(INDEX(Calcoli!$V$7:$V$21,MATCH(C215,Calcoli!$A$7:$A$21,0)),0.26),2),0))))</f>
        <v/>
      </c>
      <c r="L215" s="135" t="str">
        <f>IF(B215="","",IF(B215="Acquisto",-(J215+N(G215)),J215-N(G215)-K215))</f>
        <v/>
      </c>
      <c r="M215" s="127" t="str">
        <f>IF(B215="","",IF(ISNA(MATCH(C215,ETF!$A$7:$A$21,0)),"ETF?",IF(NOT(ISNUMBER(A215)),"Data?",IF(AND(B215&lt;&gt;"Dividendo",N(D215)&lt;=0),"Quote?",IF(AND(B215="Vendita",N(D215)&gt;N(Q215)+0.000001),"Quote?",IF(J215&lt;=0,"Importo?","✓"))))))</f>
        <v/>
      </c>
      <c r="N215" t="str">
        <f>IF(OR(B215="Acquisto",B215="Vendita"),COUNTIFS($C$5:C215,C215,$B$5:B215,"Acquisto")+COUNTIFS($C$5:C215,C215,$B$5:B215,"Vendita"),"")</f>
        <v/>
      </c>
      <c r="O215" t="str">
        <f>IF(N215="","",C215&amp;"|"&amp;N215)</f>
        <v/>
      </c>
      <c r="P215" t="str">
        <f>IF(N215="","",IF(N215=1,0,MATCH(C215&amp;"|"&amp;(N215-1),$O$5:$O$1004,0)))</f>
        <v/>
      </c>
      <c r="Q215" t="str">
        <f>IF(N215="","",IF(P215=0,SUMIFS(Calcoli!$C$7:$C$21,Calcoli!$A$7:$A$21,C215),INDEX($S$5:$S$1004,P215)))</f>
        <v/>
      </c>
      <c r="R215" t="str">
        <f>IF(N215="","",IF(P215=0,SUMIFS(Calcoli!$D$7:$D$21,Calcoli!$A$7:$A$21,C215),INDEX($T$5:$T$1004,P215)))</f>
        <v/>
      </c>
      <c r="S215" t="str">
        <f>IF(N215="","",IF(B215="Acquisto",Q215+N(D215),MAX(0,Q215-N(D215))))</f>
        <v/>
      </c>
      <c r="T215" t="str">
        <f>IF(N215="","",IF(B215="Acquisto",R215+J215+N(G215),IF(Q215&lt;=0,0,R215*(1-MIN(1,N(D215)/Q215)))))</f>
        <v/>
      </c>
      <c r="U215" t="str">
        <f>IF(B215&lt;&gt;"Vendita","",J215-N(G215)-IF(Q215&lt;=0,0,R215*MIN(1,N(D215)/Q215)))</f>
        <v/>
      </c>
      <c r="V215" t="str">
        <f>IF(B215&lt;&gt;"Dividendo","",IF(Calcoli!$B$251=1,J215,L215))</f>
        <v/>
      </c>
      <c r="W215" t="str">
        <f>IF(AND(V215&lt;&gt;"",ISNUMBER(A215)),A215,"")</f>
        <v/>
      </c>
    </row>
    <row r="216">
      <c r="A216" s="134" t="n"/>
      <c r="B216" s="116" t="n"/>
      <c r="C216" s="116" t="n"/>
      <c r="D216" s="121" t="n"/>
      <c r="E216" s="120" t="n"/>
      <c r="F216" s="120" t="n"/>
      <c r="G216" s="120" t="n"/>
      <c r="H216" s="120" t="n"/>
      <c r="I216" s="117" t="n"/>
      <c r="J216" s="123" t="str">
        <f>IF(B216="","",IF(F216&lt;&gt;"",N(F216),ROUND(N(D216)*N(E216),2)))</f>
        <v/>
      </c>
      <c r="K216" s="123" t="str">
        <f>IF(B216="","",IF(H216&lt;&gt;"",N(H216),IF(B216="Dividendo",ROUND(J216*IFERROR(INDEX(Calcoli!$V$7:$V$21,MATCH(C216,Calcoli!$A$7:$A$21,0)),0.26),2),IF(B216="Vendita",ROUND(MAX(0,U216)*IFERROR(INDEX(Calcoli!$V$7:$V$21,MATCH(C216,Calcoli!$A$7:$A$21,0)),0.26),2),0))))</f>
        <v/>
      </c>
      <c r="L216" s="135" t="str">
        <f>IF(B216="","",IF(B216="Acquisto",-(J216+N(G216)),J216-N(G216)-K216))</f>
        <v/>
      </c>
      <c r="M216" s="127" t="str">
        <f>IF(B216="","",IF(ISNA(MATCH(C216,ETF!$A$7:$A$21,0)),"ETF?",IF(NOT(ISNUMBER(A216)),"Data?",IF(AND(B216&lt;&gt;"Dividendo",N(D216)&lt;=0),"Quote?",IF(AND(B216="Vendita",N(D216)&gt;N(Q216)+0.000001),"Quote?",IF(J216&lt;=0,"Importo?","✓"))))))</f>
        <v/>
      </c>
      <c r="N216" t="str">
        <f>IF(OR(B216="Acquisto",B216="Vendita"),COUNTIFS($C$5:C216,C216,$B$5:B216,"Acquisto")+COUNTIFS($C$5:C216,C216,$B$5:B216,"Vendita"),"")</f>
        <v/>
      </c>
      <c r="O216" t="str">
        <f>IF(N216="","",C216&amp;"|"&amp;N216)</f>
        <v/>
      </c>
      <c r="P216" t="str">
        <f>IF(N216="","",IF(N216=1,0,MATCH(C216&amp;"|"&amp;(N216-1),$O$5:$O$1004,0)))</f>
        <v/>
      </c>
      <c r="Q216" t="str">
        <f>IF(N216="","",IF(P216=0,SUMIFS(Calcoli!$C$7:$C$21,Calcoli!$A$7:$A$21,C216),INDEX($S$5:$S$1004,P216)))</f>
        <v/>
      </c>
      <c r="R216" t="str">
        <f>IF(N216="","",IF(P216=0,SUMIFS(Calcoli!$D$7:$D$21,Calcoli!$A$7:$A$21,C216),INDEX($T$5:$T$1004,P216)))</f>
        <v/>
      </c>
      <c r="S216" t="str">
        <f>IF(N216="","",IF(B216="Acquisto",Q216+N(D216),MAX(0,Q216-N(D216))))</f>
        <v/>
      </c>
      <c r="T216" t="str">
        <f>IF(N216="","",IF(B216="Acquisto",R216+J216+N(G216),IF(Q216&lt;=0,0,R216*(1-MIN(1,N(D216)/Q216)))))</f>
        <v/>
      </c>
      <c r="U216" t="str">
        <f>IF(B216&lt;&gt;"Vendita","",J216-N(G216)-IF(Q216&lt;=0,0,R216*MIN(1,N(D216)/Q216)))</f>
        <v/>
      </c>
      <c r="V216" t="str">
        <f>IF(B216&lt;&gt;"Dividendo","",IF(Calcoli!$B$251=1,J216,L216))</f>
        <v/>
      </c>
      <c r="W216" t="str">
        <f>IF(AND(V216&lt;&gt;"",ISNUMBER(A216)),A216,"")</f>
        <v/>
      </c>
    </row>
    <row r="217">
      <c r="A217" s="134" t="n"/>
      <c r="B217" s="116" t="n"/>
      <c r="C217" s="116" t="n"/>
      <c r="D217" s="121" t="n"/>
      <c r="E217" s="120" t="n"/>
      <c r="F217" s="120" t="n"/>
      <c r="G217" s="120" t="n"/>
      <c r="H217" s="120" t="n"/>
      <c r="I217" s="117" t="n"/>
      <c r="J217" s="123" t="str">
        <f>IF(B217="","",IF(F217&lt;&gt;"",N(F217),ROUND(N(D217)*N(E217),2)))</f>
        <v/>
      </c>
      <c r="K217" s="123" t="str">
        <f>IF(B217="","",IF(H217&lt;&gt;"",N(H217),IF(B217="Dividendo",ROUND(J217*IFERROR(INDEX(Calcoli!$V$7:$V$21,MATCH(C217,Calcoli!$A$7:$A$21,0)),0.26),2),IF(B217="Vendita",ROUND(MAX(0,U217)*IFERROR(INDEX(Calcoli!$V$7:$V$21,MATCH(C217,Calcoli!$A$7:$A$21,0)),0.26),2),0))))</f>
        <v/>
      </c>
      <c r="L217" s="135" t="str">
        <f>IF(B217="","",IF(B217="Acquisto",-(J217+N(G217)),J217-N(G217)-K217))</f>
        <v/>
      </c>
      <c r="M217" s="127" t="str">
        <f>IF(B217="","",IF(ISNA(MATCH(C217,ETF!$A$7:$A$21,0)),"ETF?",IF(NOT(ISNUMBER(A217)),"Data?",IF(AND(B217&lt;&gt;"Dividendo",N(D217)&lt;=0),"Quote?",IF(AND(B217="Vendita",N(D217)&gt;N(Q217)+0.000001),"Quote?",IF(J217&lt;=0,"Importo?","✓"))))))</f>
        <v/>
      </c>
      <c r="N217" t="str">
        <f>IF(OR(B217="Acquisto",B217="Vendita"),COUNTIFS($C$5:C217,C217,$B$5:B217,"Acquisto")+COUNTIFS($C$5:C217,C217,$B$5:B217,"Vendita"),"")</f>
        <v/>
      </c>
      <c r="O217" t="str">
        <f>IF(N217="","",C217&amp;"|"&amp;N217)</f>
        <v/>
      </c>
      <c r="P217" t="str">
        <f>IF(N217="","",IF(N217=1,0,MATCH(C217&amp;"|"&amp;(N217-1),$O$5:$O$1004,0)))</f>
        <v/>
      </c>
      <c r="Q217" t="str">
        <f>IF(N217="","",IF(P217=0,SUMIFS(Calcoli!$C$7:$C$21,Calcoli!$A$7:$A$21,C217),INDEX($S$5:$S$1004,P217)))</f>
        <v/>
      </c>
      <c r="R217" t="str">
        <f>IF(N217="","",IF(P217=0,SUMIFS(Calcoli!$D$7:$D$21,Calcoli!$A$7:$A$21,C217),INDEX($T$5:$T$1004,P217)))</f>
        <v/>
      </c>
      <c r="S217" t="str">
        <f>IF(N217="","",IF(B217="Acquisto",Q217+N(D217),MAX(0,Q217-N(D217))))</f>
        <v/>
      </c>
      <c r="T217" t="str">
        <f>IF(N217="","",IF(B217="Acquisto",R217+J217+N(G217),IF(Q217&lt;=0,0,R217*(1-MIN(1,N(D217)/Q217)))))</f>
        <v/>
      </c>
      <c r="U217" t="str">
        <f>IF(B217&lt;&gt;"Vendita","",J217-N(G217)-IF(Q217&lt;=0,0,R217*MIN(1,N(D217)/Q217)))</f>
        <v/>
      </c>
      <c r="V217" t="str">
        <f>IF(B217&lt;&gt;"Dividendo","",IF(Calcoli!$B$251=1,J217,L217))</f>
        <v/>
      </c>
      <c r="W217" t="str">
        <f>IF(AND(V217&lt;&gt;"",ISNUMBER(A217)),A217,"")</f>
        <v/>
      </c>
    </row>
    <row r="218">
      <c r="A218" s="134" t="n"/>
      <c r="B218" s="116" t="n"/>
      <c r="C218" s="116" t="n"/>
      <c r="D218" s="121" t="n"/>
      <c r="E218" s="120" t="n"/>
      <c r="F218" s="120" t="n"/>
      <c r="G218" s="120" t="n"/>
      <c r="H218" s="120" t="n"/>
      <c r="I218" s="117" t="n"/>
      <c r="J218" s="123" t="str">
        <f>IF(B218="","",IF(F218&lt;&gt;"",N(F218),ROUND(N(D218)*N(E218),2)))</f>
        <v/>
      </c>
      <c r="K218" s="123" t="str">
        <f>IF(B218="","",IF(H218&lt;&gt;"",N(H218),IF(B218="Dividendo",ROUND(J218*IFERROR(INDEX(Calcoli!$V$7:$V$21,MATCH(C218,Calcoli!$A$7:$A$21,0)),0.26),2),IF(B218="Vendita",ROUND(MAX(0,U218)*IFERROR(INDEX(Calcoli!$V$7:$V$21,MATCH(C218,Calcoli!$A$7:$A$21,0)),0.26),2),0))))</f>
        <v/>
      </c>
      <c r="L218" s="135" t="str">
        <f>IF(B218="","",IF(B218="Acquisto",-(J218+N(G218)),J218-N(G218)-K218))</f>
        <v/>
      </c>
      <c r="M218" s="127" t="str">
        <f>IF(B218="","",IF(ISNA(MATCH(C218,ETF!$A$7:$A$21,0)),"ETF?",IF(NOT(ISNUMBER(A218)),"Data?",IF(AND(B218&lt;&gt;"Dividendo",N(D218)&lt;=0),"Quote?",IF(AND(B218="Vendita",N(D218)&gt;N(Q218)+0.000001),"Quote?",IF(J218&lt;=0,"Importo?","✓"))))))</f>
        <v/>
      </c>
      <c r="N218" t="str">
        <f>IF(OR(B218="Acquisto",B218="Vendita"),COUNTIFS($C$5:C218,C218,$B$5:B218,"Acquisto")+COUNTIFS($C$5:C218,C218,$B$5:B218,"Vendita"),"")</f>
        <v/>
      </c>
      <c r="O218" t="str">
        <f>IF(N218="","",C218&amp;"|"&amp;N218)</f>
        <v/>
      </c>
      <c r="P218" t="str">
        <f>IF(N218="","",IF(N218=1,0,MATCH(C218&amp;"|"&amp;(N218-1),$O$5:$O$1004,0)))</f>
        <v/>
      </c>
      <c r="Q218" t="str">
        <f>IF(N218="","",IF(P218=0,SUMIFS(Calcoli!$C$7:$C$21,Calcoli!$A$7:$A$21,C218),INDEX($S$5:$S$1004,P218)))</f>
        <v/>
      </c>
      <c r="R218" t="str">
        <f>IF(N218="","",IF(P218=0,SUMIFS(Calcoli!$D$7:$D$21,Calcoli!$A$7:$A$21,C218),INDEX($T$5:$T$1004,P218)))</f>
        <v/>
      </c>
      <c r="S218" t="str">
        <f>IF(N218="","",IF(B218="Acquisto",Q218+N(D218),MAX(0,Q218-N(D218))))</f>
        <v/>
      </c>
      <c r="T218" t="str">
        <f>IF(N218="","",IF(B218="Acquisto",R218+J218+N(G218),IF(Q218&lt;=0,0,R218*(1-MIN(1,N(D218)/Q218)))))</f>
        <v/>
      </c>
      <c r="U218" t="str">
        <f>IF(B218&lt;&gt;"Vendita","",J218-N(G218)-IF(Q218&lt;=0,0,R218*MIN(1,N(D218)/Q218)))</f>
        <v/>
      </c>
      <c r="V218" t="str">
        <f>IF(B218&lt;&gt;"Dividendo","",IF(Calcoli!$B$251=1,J218,L218))</f>
        <v/>
      </c>
      <c r="W218" t="str">
        <f>IF(AND(V218&lt;&gt;"",ISNUMBER(A218)),A218,"")</f>
        <v/>
      </c>
    </row>
    <row r="219">
      <c r="A219" s="134" t="n"/>
      <c r="B219" s="116" t="n"/>
      <c r="C219" s="116" t="n"/>
      <c r="D219" s="121" t="n"/>
      <c r="E219" s="120" t="n"/>
      <c r="F219" s="120" t="n"/>
      <c r="G219" s="120" t="n"/>
      <c r="H219" s="120" t="n"/>
      <c r="I219" s="117" t="n"/>
      <c r="J219" s="123" t="str">
        <f>IF(B219="","",IF(F219&lt;&gt;"",N(F219),ROUND(N(D219)*N(E219),2)))</f>
        <v/>
      </c>
      <c r="K219" s="123" t="str">
        <f>IF(B219="","",IF(H219&lt;&gt;"",N(H219),IF(B219="Dividendo",ROUND(J219*IFERROR(INDEX(Calcoli!$V$7:$V$21,MATCH(C219,Calcoli!$A$7:$A$21,0)),0.26),2),IF(B219="Vendita",ROUND(MAX(0,U219)*IFERROR(INDEX(Calcoli!$V$7:$V$21,MATCH(C219,Calcoli!$A$7:$A$21,0)),0.26),2),0))))</f>
        <v/>
      </c>
      <c r="L219" s="135" t="str">
        <f>IF(B219="","",IF(B219="Acquisto",-(J219+N(G219)),J219-N(G219)-K219))</f>
        <v/>
      </c>
      <c r="M219" s="127" t="str">
        <f>IF(B219="","",IF(ISNA(MATCH(C219,ETF!$A$7:$A$21,0)),"ETF?",IF(NOT(ISNUMBER(A219)),"Data?",IF(AND(B219&lt;&gt;"Dividendo",N(D219)&lt;=0),"Quote?",IF(AND(B219="Vendita",N(D219)&gt;N(Q219)+0.000001),"Quote?",IF(J219&lt;=0,"Importo?","✓"))))))</f>
        <v/>
      </c>
      <c r="N219" t="str">
        <f>IF(OR(B219="Acquisto",B219="Vendita"),COUNTIFS($C$5:C219,C219,$B$5:B219,"Acquisto")+COUNTIFS($C$5:C219,C219,$B$5:B219,"Vendita"),"")</f>
        <v/>
      </c>
      <c r="O219" t="str">
        <f>IF(N219="","",C219&amp;"|"&amp;N219)</f>
        <v/>
      </c>
      <c r="P219" t="str">
        <f>IF(N219="","",IF(N219=1,0,MATCH(C219&amp;"|"&amp;(N219-1),$O$5:$O$1004,0)))</f>
        <v/>
      </c>
      <c r="Q219" t="str">
        <f>IF(N219="","",IF(P219=0,SUMIFS(Calcoli!$C$7:$C$21,Calcoli!$A$7:$A$21,C219),INDEX($S$5:$S$1004,P219)))</f>
        <v/>
      </c>
      <c r="R219" t="str">
        <f>IF(N219="","",IF(P219=0,SUMIFS(Calcoli!$D$7:$D$21,Calcoli!$A$7:$A$21,C219),INDEX($T$5:$T$1004,P219)))</f>
        <v/>
      </c>
      <c r="S219" t="str">
        <f>IF(N219="","",IF(B219="Acquisto",Q219+N(D219),MAX(0,Q219-N(D219))))</f>
        <v/>
      </c>
      <c r="T219" t="str">
        <f>IF(N219="","",IF(B219="Acquisto",R219+J219+N(G219),IF(Q219&lt;=0,0,R219*(1-MIN(1,N(D219)/Q219)))))</f>
        <v/>
      </c>
      <c r="U219" t="str">
        <f>IF(B219&lt;&gt;"Vendita","",J219-N(G219)-IF(Q219&lt;=0,0,R219*MIN(1,N(D219)/Q219)))</f>
        <v/>
      </c>
      <c r="V219" t="str">
        <f>IF(B219&lt;&gt;"Dividendo","",IF(Calcoli!$B$251=1,J219,L219))</f>
        <v/>
      </c>
      <c r="W219" t="str">
        <f>IF(AND(V219&lt;&gt;"",ISNUMBER(A219)),A219,"")</f>
        <v/>
      </c>
    </row>
    <row r="220">
      <c r="A220" s="134" t="n"/>
      <c r="B220" s="116" t="n"/>
      <c r="C220" s="116" t="n"/>
      <c r="D220" s="121" t="n"/>
      <c r="E220" s="120" t="n"/>
      <c r="F220" s="120" t="n"/>
      <c r="G220" s="120" t="n"/>
      <c r="H220" s="120" t="n"/>
      <c r="I220" s="117" t="n"/>
      <c r="J220" s="123" t="str">
        <f>IF(B220="","",IF(F220&lt;&gt;"",N(F220),ROUND(N(D220)*N(E220),2)))</f>
        <v/>
      </c>
      <c r="K220" s="123" t="str">
        <f>IF(B220="","",IF(H220&lt;&gt;"",N(H220),IF(B220="Dividendo",ROUND(J220*IFERROR(INDEX(Calcoli!$V$7:$V$21,MATCH(C220,Calcoli!$A$7:$A$21,0)),0.26),2),IF(B220="Vendita",ROUND(MAX(0,U220)*IFERROR(INDEX(Calcoli!$V$7:$V$21,MATCH(C220,Calcoli!$A$7:$A$21,0)),0.26),2),0))))</f>
        <v/>
      </c>
      <c r="L220" s="135" t="str">
        <f>IF(B220="","",IF(B220="Acquisto",-(J220+N(G220)),J220-N(G220)-K220))</f>
        <v/>
      </c>
      <c r="M220" s="127" t="str">
        <f>IF(B220="","",IF(ISNA(MATCH(C220,ETF!$A$7:$A$21,0)),"ETF?",IF(NOT(ISNUMBER(A220)),"Data?",IF(AND(B220&lt;&gt;"Dividendo",N(D220)&lt;=0),"Quote?",IF(AND(B220="Vendita",N(D220)&gt;N(Q220)+0.000001),"Quote?",IF(J220&lt;=0,"Importo?","✓"))))))</f>
        <v/>
      </c>
      <c r="N220" t="str">
        <f>IF(OR(B220="Acquisto",B220="Vendita"),COUNTIFS($C$5:C220,C220,$B$5:B220,"Acquisto")+COUNTIFS($C$5:C220,C220,$B$5:B220,"Vendita"),"")</f>
        <v/>
      </c>
      <c r="O220" t="str">
        <f>IF(N220="","",C220&amp;"|"&amp;N220)</f>
        <v/>
      </c>
      <c r="P220" t="str">
        <f>IF(N220="","",IF(N220=1,0,MATCH(C220&amp;"|"&amp;(N220-1),$O$5:$O$1004,0)))</f>
        <v/>
      </c>
      <c r="Q220" t="str">
        <f>IF(N220="","",IF(P220=0,SUMIFS(Calcoli!$C$7:$C$21,Calcoli!$A$7:$A$21,C220),INDEX($S$5:$S$1004,P220)))</f>
        <v/>
      </c>
      <c r="R220" t="str">
        <f>IF(N220="","",IF(P220=0,SUMIFS(Calcoli!$D$7:$D$21,Calcoli!$A$7:$A$21,C220),INDEX($T$5:$T$1004,P220)))</f>
        <v/>
      </c>
      <c r="S220" t="str">
        <f>IF(N220="","",IF(B220="Acquisto",Q220+N(D220),MAX(0,Q220-N(D220))))</f>
        <v/>
      </c>
      <c r="T220" t="str">
        <f>IF(N220="","",IF(B220="Acquisto",R220+J220+N(G220),IF(Q220&lt;=0,0,R220*(1-MIN(1,N(D220)/Q220)))))</f>
        <v/>
      </c>
      <c r="U220" t="str">
        <f>IF(B220&lt;&gt;"Vendita","",J220-N(G220)-IF(Q220&lt;=0,0,R220*MIN(1,N(D220)/Q220)))</f>
        <v/>
      </c>
      <c r="V220" t="str">
        <f>IF(B220&lt;&gt;"Dividendo","",IF(Calcoli!$B$251=1,J220,L220))</f>
        <v/>
      </c>
      <c r="W220" t="str">
        <f>IF(AND(V220&lt;&gt;"",ISNUMBER(A220)),A220,"")</f>
        <v/>
      </c>
    </row>
    <row r="221">
      <c r="A221" s="134" t="n"/>
      <c r="B221" s="116" t="n"/>
      <c r="C221" s="116" t="n"/>
      <c r="D221" s="121" t="n"/>
      <c r="E221" s="120" t="n"/>
      <c r="F221" s="120" t="n"/>
      <c r="G221" s="120" t="n"/>
      <c r="H221" s="120" t="n"/>
      <c r="I221" s="117" t="n"/>
      <c r="J221" s="123" t="str">
        <f>IF(B221="","",IF(F221&lt;&gt;"",N(F221),ROUND(N(D221)*N(E221),2)))</f>
        <v/>
      </c>
      <c r="K221" s="123" t="str">
        <f>IF(B221="","",IF(H221&lt;&gt;"",N(H221),IF(B221="Dividendo",ROUND(J221*IFERROR(INDEX(Calcoli!$V$7:$V$21,MATCH(C221,Calcoli!$A$7:$A$21,0)),0.26),2),IF(B221="Vendita",ROUND(MAX(0,U221)*IFERROR(INDEX(Calcoli!$V$7:$V$21,MATCH(C221,Calcoli!$A$7:$A$21,0)),0.26),2),0))))</f>
        <v/>
      </c>
      <c r="L221" s="135" t="str">
        <f>IF(B221="","",IF(B221="Acquisto",-(J221+N(G221)),J221-N(G221)-K221))</f>
        <v/>
      </c>
      <c r="M221" s="127" t="str">
        <f>IF(B221="","",IF(ISNA(MATCH(C221,ETF!$A$7:$A$21,0)),"ETF?",IF(NOT(ISNUMBER(A221)),"Data?",IF(AND(B221&lt;&gt;"Dividendo",N(D221)&lt;=0),"Quote?",IF(AND(B221="Vendita",N(D221)&gt;N(Q221)+0.000001),"Quote?",IF(J221&lt;=0,"Importo?","✓"))))))</f>
        <v/>
      </c>
      <c r="N221" t="str">
        <f>IF(OR(B221="Acquisto",B221="Vendita"),COUNTIFS($C$5:C221,C221,$B$5:B221,"Acquisto")+COUNTIFS($C$5:C221,C221,$B$5:B221,"Vendita"),"")</f>
        <v/>
      </c>
      <c r="O221" t="str">
        <f>IF(N221="","",C221&amp;"|"&amp;N221)</f>
        <v/>
      </c>
      <c r="P221" t="str">
        <f>IF(N221="","",IF(N221=1,0,MATCH(C221&amp;"|"&amp;(N221-1),$O$5:$O$1004,0)))</f>
        <v/>
      </c>
      <c r="Q221" t="str">
        <f>IF(N221="","",IF(P221=0,SUMIFS(Calcoli!$C$7:$C$21,Calcoli!$A$7:$A$21,C221),INDEX($S$5:$S$1004,P221)))</f>
        <v/>
      </c>
      <c r="R221" t="str">
        <f>IF(N221="","",IF(P221=0,SUMIFS(Calcoli!$D$7:$D$21,Calcoli!$A$7:$A$21,C221),INDEX($T$5:$T$1004,P221)))</f>
        <v/>
      </c>
      <c r="S221" t="str">
        <f>IF(N221="","",IF(B221="Acquisto",Q221+N(D221),MAX(0,Q221-N(D221))))</f>
        <v/>
      </c>
      <c r="T221" t="str">
        <f>IF(N221="","",IF(B221="Acquisto",R221+J221+N(G221),IF(Q221&lt;=0,0,R221*(1-MIN(1,N(D221)/Q221)))))</f>
        <v/>
      </c>
      <c r="U221" t="str">
        <f>IF(B221&lt;&gt;"Vendita","",J221-N(G221)-IF(Q221&lt;=0,0,R221*MIN(1,N(D221)/Q221)))</f>
        <v/>
      </c>
      <c r="V221" t="str">
        <f>IF(B221&lt;&gt;"Dividendo","",IF(Calcoli!$B$251=1,J221,L221))</f>
        <v/>
      </c>
      <c r="W221" t="str">
        <f>IF(AND(V221&lt;&gt;"",ISNUMBER(A221)),A221,"")</f>
        <v/>
      </c>
    </row>
    <row r="222">
      <c r="A222" s="134" t="n"/>
      <c r="B222" s="116" t="n"/>
      <c r="C222" s="116" t="n"/>
      <c r="D222" s="121" t="n"/>
      <c r="E222" s="120" t="n"/>
      <c r="F222" s="120" t="n"/>
      <c r="G222" s="120" t="n"/>
      <c r="H222" s="120" t="n"/>
      <c r="I222" s="117" t="n"/>
      <c r="J222" s="123" t="str">
        <f>IF(B222="","",IF(F222&lt;&gt;"",N(F222),ROUND(N(D222)*N(E222),2)))</f>
        <v/>
      </c>
      <c r="K222" s="123" t="str">
        <f>IF(B222="","",IF(H222&lt;&gt;"",N(H222),IF(B222="Dividendo",ROUND(J222*IFERROR(INDEX(Calcoli!$V$7:$V$21,MATCH(C222,Calcoli!$A$7:$A$21,0)),0.26),2),IF(B222="Vendita",ROUND(MAX(0,U222)*IFERROR(INDEX(Calcoli!$V$7:$V$21,MATCH(C222,Calcoli!$A$7:$A$21,0)),0.26),2),0))))</f>
        <v/>
      </c>
      <c r="L222" s="135" t="str">
        <f>IF(B222="","",IF(B222="Acquisto",-(J222+N(G222)),J222-N(G222)-K222))</f>
        <v/>
      </c>
      <c r="M222" s="127" t="str">
        <f>IF(B222="","",IF(ISNA(MATCH(C222,ETF!$A$7:$A$21,0)),"ETF?",IF(NOT(ISNUMBER(A222)),"Data?",IF(AND(B222&lt;&gt;"Dividendo",N(D222)&lt;=0),"Quote?",IF(AND(B222="Vendita",N(D222)&gt;N(Q222)+0.000001),"Quote?",IF(J222&lt;=0,"Importo?","✓"))))))</f>
        <v/>
      </c>
      <c r="N222" t="str">
        <f>IF(OR(B222="Acquisto",B222="Vendita"),COUNTIFS($C$5:C222,C222,$B$5:B222,"Acquisto")+COUNTIFS($C$5:C222,C222,$B$5:B222,"Vendita"),"")</f>
        <v/>
      </c>
      <c r="O222" t="str">
        <f>IF(N222="","",C222&amp;"|"&amp;N222)</f>
        <v/>
      </c>
      <c r="P222" t="str">
        <f>IF(N222="","",IF(N222=1,0,MATCH(C222&amp;"|"&amp;(N222-1),$O$5:$O$1004,0)))</f>
        <v/>
      </c>
      <c r="Q222" t="str">
        <f>IF(N222="","",IF(P222=0,SUMIFS(Calcoli!$C$7:$C$21,Calcoli!$A$7:$A$21,C222),INDEX($S$5:$S$1004,P222)))</f>
        <v/>
      </c>
      <c r="R222" t="str">
        <f>IF(N222="","",IF(P222=0,SUMIFS(Calcoli!$D$7:$D$21,Calcoli!$A$7:$A$21,C222),INDEX($T$5:$T$1004,P222)))</f>
        <v/>
      </c>
      <c r="S222" t="str">
        <f>IF(N222="","",IF(B222="Acquisto",Q222+N(D222),MAX(0,Q222-N(D222))))</f>
        <v/>
      </c>
      <c r="T222" t="str">
        <f>IF(N222="","",IF(B222="Acquisto",R222+J222+N(G222),IF(Q222&lt;=0,0,R222*(1-MIN(1,N(D222)/Q222)))))</f>
        <v/>
      </c>
      <c r="U222" t="str">
        <f>IF(B222&lt;&gt;"Vendita","",J222-N(G222)-IF(Q222&lt;=0,0,R222*MIN(1,N(D222)/Q222)))</f>
        <v/>
      </c>
      <c r="V222" t="str">
        <f>IF(B222&lt;&gt;"Dividendo","",IF(Calcoli!$B$251=1,J222,L222))</f>
        <v/>
      </c>
      <c r="W222" t="str">
        <f>IF(AND(V222&lt;&gt;"",ISNUMBER(A222)),A222,"")</f>
        <v/>
      </c>
    </row>
    <row r="223">
      <c r="A223" s="134" t="n"/>
      <c r="B223" s="116" t="n"/>
      <c r="C223" s="116" t="n"/>
      <c r="D223" s="121" t="n"/>
      <c r="E223" s="120" t="n"/>
      <c r="F223" s="120" t="n"/>
      <c r="G223" s="120" t="n"/>
      <c r="H223" s="120" t="n"/>
      <c r="I223" s="117" t="n"/>
      <c r="J223" s="123" t="str">
        <f>IF(B223="","",IF(F223&lt;&gt;"",N(F223),ROUND(N(D223)*N(E223),2)))</f>
        <v/>
      </c>
      <c r="K223" s="123" t="str">
        <f>IF(B223="","",IF(H223&lt;&gt;"",N(H223),IF(B223="Dividendo",ROUND(J223*IFERROR(INDEX(Calcoli!$V$7:$V$21,MATCH(C223,Calcoli!$A$7:$A$21,0)),0.26),2),IF(B223="Vendita",ROUND(MAX(0,U223)*IFERROR(INDEX(Calcoli!$V$7:$V$21,MATCH(C223,Calcoli!$A$7:$A$21,0)),0.26),2),0))))</f>
        <v/>
      </c>
      <c r="L223" s="135" t="str">
        <f>IF(B223="","",IF(B223="Acquisto",-(J223+N(G223)),J223-N(G223)-K223))</f>
        <v/>
      </c>
      <c r="M223" s="127" t="str">
        <f>IF(B223="","",IF(ISNA(MATCH(C223,ETF!$A$7:$A$21,0)),"ETF?",IF(NOT(ISNUMBER(A223)),"Data?",IF(AND(B223&lt;&gt;"Dividendo",N(D223)&lt;=0),"Quote?",IF(AND(B223="Vendita",N(D223)&gt;N(Q223)+0.000001),"Quote?",IF(J223&lt;=0,"Importo?","✓"))))))</f>
        <v/>
      </c>
      <c r="N223" t="str">
        <f>IF(OR(B223="Acquisto",B223="Vendita"),COUNTIFS($C$5:C223,C223,$B$5:B223,"Acquisto")+COUNTIFS($C$5:C223,C223,$B$5:B223,"Vendita"),"")</f>
        <v/>
      </c>
      <c r="O223" t="str">
        <f>IF(N223="","",C223&amp;"|"&amp;N223)</f>
        <v/>
      </c>
      <c r="P223" t="str">
        <f>IF(N223="","",IF(N223=1,0,MATCH(C223&amp;"|"&amp;(N223-1),$O$5:$O$1004,0)))</f>
        <v/>
      </c>
      <c r="Q223" t="str">
        <f>IF(N223="","",IF(P223=0,SUMIFS(Calcoli!$C$7:$C$21,Calcoli!$A$7:$A$21,C223),INDEX($S$5:$S$1004,P223)))</f>
        <v/>
      </c>
      <c r="R223" t="str">
        <f>IF(N223="","",IF(P223=0,SUMIFS(Calcoli!$D$7:$D$21,Calcoli!$A$7:$A$21,C223),INDEX($T$5:$T$1004,P223)))</f>
        <v/>
      </c>
      <c r="S223" t="str">
        <f>IF(N223="","",IF(B223="Acquisto",Q223+N(D223),MAX(0,Q223-N(D223))))</f>
        <v/>
      </c>
      <c r="T223" t="str">
        <f>IF(N223="","",IF(B223="Acquisto",R223+J223+N(G223),IF(Q223&lt;=0,0,R223*(1-MIN(1,N(D223)/Q223)))))</f>
        <v/>
      </c>
      <c r="U223" t="str">
        <f>IF(B223&lt;&gt;"Vendita","",J223-N(G223)-IF(Q223&lt;=0,0,R223*MIN(1,N(D223)/Q223)))</f>
        <v/>
      </c>
      <c r="V223" t="str">
        <f>IF(B223&lt;&gt;"Dividendo","",IF(Calcoli!$B$251=1,J223,L223))</f>
        <v/>
      </c>
      <c r="W223" t="str">
        <f>IF(AND(V223&lt;&gt;"",ISNUMBER(A223)),A223,"")</f>
        <v/>
      </c>
    </row>
    <row r="224">
      <c r="A224" s="134" t="n"/>
      <c r="B224" s="116" t="n"/>
      <c r="C224" s="116" t="n"/>
      <c r="D224" s="121" t="n"/>
      <c r="E224" s="120" t="n"/>
      <c r="F224" s="120" t="n"/>
      <c r="G224" s="120" t="n"/>
      <c r="H224" s="120" t="n"/>
      <c r="I224" s="117" t="n"/>
      <c r="J224" s="123" t="str">
        <f>IF(B224="","",IF(F224&lt;&gt;"",N(F224),ROUND(N(D224)*N(E224),2)))</f>
        <v/>
      </c>
      <c r="K224" s="123" t="str">
        <f>IF(B224="","",IF(H224&lt;&gt;"",N(H224),IF(B224="Dividendo",ROUND(J224*IFERROR(INDEX(Calcoli!$V$7:$V$21,MATCH(C224,Calcoli!$A$7:$A$21,0)),0.26),2),IF(B224="Vendita",ROUND(MAX(0,U224)*IFERROR(INDEX(Calcoli!$V$7:$V$21,MATCH(C224,Calcoli!$A$7:$A$21,0)),0.26),2),0))))</f>
        <v/>
      </c>
      <c r="L224" s="135" t="str">
        <f>IF(B224="","",IF(B224="Acquisto",-(J224+N(G224)),J224-N(G224)-K224))</f>
        <v/>
      </c>
      <c r="M224" s="127" t="str">
        <f>IF(B224="","",IF(ISNA(MATCH(C224,ETF!$A$7:$A$21,0)),"ETF?",IF(NOT(ISNUMBER(A224)),"Data?",IF(AND(B224&lt;&gt;"Dividendo",N(D224)&lt;=0),"Quote?",IF(AND(B224="Vendita",N(D224)&gt;N(Q224)+0.000001),"Quote?",IF(J224&lt;=0,"Importo?","✓"))))))</f>
        <v/>
      </c>
      <c r="N224" t="str">
        <f>IF(OR(B224="Acquisto",B224="Vendita"),COUNTIFS($C$5:C224,C224,$B$5:B224,"Acquisto")+COUNTIFS($C$5:C224,C224,$B$5:B224,"Vendita"),"")</f>
        <v/>
      </c>
      <c r="O224" t="str">
        <f>IF(N224="","",C224&amp;"|"&amp;N224)</f>
        <v/>
      </c>
      <c r="P224" t="str">
        <f>IF(N224="","",IF(N224=1,0,MATCH(C224&amp;"|"&amp;(N224-1),$O$5:$O$1004,0)))</f>
        <v/>
      </c>
      <c r="Q224" t="str">
        <f>IF(N224="","",IF(P224=0,SUMIFS(Calcoli!$C$7:$C$21,Calcoli!$A$7:$A$21,C224),INDEX($S$5:$S$1004,P224)))</f>
        <v/>
      </c>
      <c r="R224" t="str">
        <f>IF(N224="","",IF(P224=0,SUMIFS(Calcoli!$D$7:$D$21,Calcoli!$A$7:$A$21,C224),INDEX($T$5:$T$1004,P224)))</f>
        <v/>
      </c>
      <c r="S224" t="str">
        <f>IF(N224="","",IF(B224="Acquisto",Q224+N(D224),MAX(0,Q224-N(D224))))</f>
        <v/>
      </c>
      <c r="T224" t="str">
        <f>IF(N224="","",IF(B224="Acquisto",R224+J224+N(G224),IF(Q224&lt;=0,0,R224*(1-MIN(1,N(D224)/Q224)))))</f>
        <v/>
      </c>
      <c r="U224" t="str">
        <f>IF(B224&lt;&gt;"Vendita","",J224-N(G224)-IF(Q224&lt;=0,0,R224*MIN(1,N(D224)/Q224)))</f>
        <v/>
      </c>
      <c r="V224" t="str">
        <f>IF(B224&lt;&gt;"Dividendo","",IF(Calcoli!$B$251=1,J224,L224))</f>
        <v/>
      </c>
      <c r="W224" t="str">
        <f>IF(AND(V224&lt;&gt;"",ISNUMBER(A224)),A224,"")</f>
        <v/>
      </c>
    </row>
    <row r="225">
      <c r="A225" s="134" t="n"/>
      <c r="B225" s="116" t="n"/>
      <c r="C225" s="116" t="n"/>
      <c r="D225" s="121" t="n"/>
      <c r="E225" s="120" t="n"/>
      <c r="F225" s="120" t="n"/>
      <c r="G225" s="120" t="n"/>
      <c r="H225" s="120" t="n"/>
      <c r="I225" s="117" t="n"/>
      <c r="J225" s="123" t="str">
        <f>IF(B225="","",IF(F225&lt;&gt;"",N(F225),ROUND(N(D225)*N(E225),2)))</f>
        <v/>
      </c>
      <c r="K225" s="123" t="str">
        <f>IF(B225="","",IF(H225&lt;&gt;"",N(H225),IF(B225="Dividendo",ROUND(J225*IFERROR(INDEX(Calcoli!$V$7:$V$21,MATCH(C225,Calcoli!$A$7:$A$21,0)),0.26),2),IF(B225="Vendita",ROUND(MAX(0,U225)*IFERROR(INDEX(Calcoli!$V$7:$V$21,MATCH(C225,Calcoli!$A$7:$A$21,0)),0.26),2),0))))</f>
        <v/>
      </c>
      <c r="L225" s="135" t="str">
        <f>IF(B225="","",IF(B225="Acquisto",-(J225+N(G225)),J225-N(G225)-K225))</f>
        <v/>
      </c>
      <c r="M225" s="127" t="str">
        <f>IF(B225="","",IF(ISNA(MATCH(C225,ETF!$A$7:$A$21,0)),"ETF?",IF(NOT(ISNUMBER(A225)),"Data?",IF(AND(B225&lt;&gt;"Dividendo",N(D225)&lt;=0),"Quote?",IF(AND(B225="Vendita",N(D225)&gt;N(Q225)+0.000001),"Quote?",IF(J225&lt;=0,"Importo?","✓"))))))</f>
        <v/>
      </c>
      <c r="N225" t="str">
        <f>IF(OR(B225="Acquisto",B225="Vendita"),COUNTIFS($C$5:C225,C225,$B$5:B225,"Acquisto")+COUNTIFS($C$5:C225,C225,$B$5:B225,"Vendita"),"")</f>
        <v/>
      </c>
      <c r="O225" t="str">
        <f>IF(N225="","",C225&amp;"|"&amp;N225)</f>
        <v/>
      </c>
      <c r="P225" t="str">
        <f>IF(N225="","",IF(N225=1,0,MATCH(C225&amp;"|"&amp;(N225-1),$O$5:$O$1004,0)))</f>
        <v/>
      </c>
      <c r="Q225" t="str">
        <f>IF(N225="","",IF(P225=0,SUMIFS(Calcoli!$C$7:$C$21,Calcoli!$A$7:$A$21,C225),INDEX($S$5:$S$1004,P225)))</f>
        <v/>
      </c>
      <c r="R225" t="str">
        <f>IF(N225="","",IF(P225=0,SUMIFS(Calcoli!$D$7:$D$21,Calcoli!$A$7:$A$21,C225),INDEX($T$5:$T$1004,P225)))</f>
        <v/>
      </c>
      <c r="S225" t="str">
        <f>IF(N225="","",IF(B225="Acquisto",Q225+N(D225),MAX(0,Q225-N(D225))))</f>
        <v/>
      </c>
      <c r="T225" t="str">
        <f>IF(N225="","",IF(B225="Acquisto",R225+J225+N(G225),IF(Q225&lt;=0,0,R225*(1-MIN(1,N(D225)/Q225)))))</f>
        <v/>
      </c>
      <c r="U225" t="str">
        <f>IF(B225&lt;&gt;"Vendita","",J225-N(G225)-IF(Q225&lt;=0,0,R225*MIN(1,N(D225)/Q225)))</f>
        <v/>
      </c>
      <c r="V225" t="str">
        <f>IF(B225&lt;&gt;"Dividendo","",IF(Calcoli!$B$251=1,J225,L225))</f>
        <v/>
      </c>
      <c r="W225" t="str">
        <f>IF(AND(V225&lt;&gt;"",ISNUMBER(A225)),A225,"")</f>
        <v/>
      </c>
    </row>
    <row r="226">
      <c r="A226" s="134" t="n"/>
      <c r="B226" s="116" t="n"/>
      <c r="C226" s="116" t="n"/>
      <c r="D226" s="121" t="n"/>
      <c r="E226" s="120" t="n"/>
      <c r="F226" s="120" t="n"/>
      <c r="G226" s="120" t="n"/>
      <c r="H226" s="120" t="n"/>
      <c r="I226" s="117" t="n"/>
      <c r="J226" s="123" t="str">
        <f>IF(B226="","",IF(F226&lt;&gt;"",N(F226),ROUND(N(D226)*N(E226),2)))</f>
        <v/>
      </c>
      <c r="K226" s="123" t="str">
        <f>IF(B226="","",IF(H226&lt;&gt;"",N(H226),IF(B226="Dividendo",ROUND(J226*IFERROR(INDEX(Calcoli!$V$7:$V$21,MATCH(C226,Calcoli!$A$7:$A$21,0)),0.26),2),IF(B226="Vendita",ROUND(MAX(0,U226)*IFERROR(INDEX(Calcoli!$V$7:$V$21,MATCH(C226,Calcoli!$A$7:$A$21,0)),0.26),2),0))))</f>
        <v/>
      </c>
      <c r="L226" s="135" t="str">
        <f>IF(B226="","",IF(B226="Acquisto",-(J226+N(G226)),J226-N(G226)-K226))</f>
        <v/>
      </c>
      <c r="M226" s="127" t="str">
        <f>IF(B226="","",IF(ISNA(MATCH(C226,ETF!$A$7:$A$21,0)),"ETF?",IF(NOT(ISNUMBER(A226)),"Data?",IF(AND(B226&lt;&gt;"Dividendo",N(D226)&lt;=0),"Quote?",IF(AND(B226="Vendita",N(D226)&gt;N(Q226)+0.000001),"Quote?",IF(J226&lt;=0,"Importo?","✓"))))))</f>
        <v/>
      </c>
      <c r="N226" t="str">
        <f>IF(OR(B226="Acquisto",B226="Vendita"),COUNTIFS($C$5:C226,C226,$B$5:B226,"Acquisto")+COUNTIFS($C$5:C226,C226,$B$5:B226,"Vendita"),"")</f>
        <v/>
      </c>
      <c r="O226" t="str">
        <f>IF(N226="","",C226&amp;"|"&amp;N226)</f>
        <v/>
      </c>
      <c r="P226" t="str">
        <f>IF(N226="","",IF(N226=1,0,MATCH(C226&amp;"|"&amp;(N226-1),$O$5:$O$1004,0)))</f>
        <v/>
      </c>
      <c r="Q226" t="str">
        <f>IF(N226="","",IF(P226=0,SUMIFS(Calcoli!$C$7:$C$21,Calcoli!$A$7:$A$21,C226),INDEX($S$5:$S$1004,P226)))</f>
        <v/>
      </c>
      <c r="R226" t="str">
        <f>IF(N226="","",IF(P226=0,SUMIFS(Calcoli!$D$7:$D$21,Calcoli!$A$7:$A$21,C226),INDEX($T$5:$T$1004,P226)))</f>
        <v/>
      </c>
      <c r="S226" t="str">
        <f>IF(N226="","",IF(B226="Acquisto",Q226+N(D226),MAX(0,Q226-N(D226))))</f>
        <v/>
      </c>
      <c r="T226" t="str">
        <f>IF(N226="","",IF(B226="Acquisto",R226+J226+N(G226),IF(Q226&lt;=0,0,R226*(1-MIN(1,N(D226)/Q226)))))</f>
        <v/>
      </c>
      <c r="U226" t="str">
        <f>IF(B226&lt;&gt;"Vendita","",J226-N(G226)-IF(Q226&lt;=0,0,R226*MIN(1,N(D226)/Q226)))</f>
        <v/>
      </c>
      <c r="V226" t="str">
        <f>IF(B226&lt;&gt;"Dividendo","",IF(Calcoli!$B$251=1,J226,L226))</f>
        <v/>
      </c>
      <c r="W226" t="str">
        <f>IF(AND(V226&lt;&gt;"",ISNUMBER(A226)),A226,"")</f>
        <v/>
      </c>
    </row>
    <row r="227">
      <c r="A227" s="134" t="n"/>
      <c r="B227" s="116" t="n"/>
      <c r="C227" s="116" t="n"/>
      <c r="D227" s="121" t="n"/>
      <c r="E227" s="120" t="n"/>
      <c r="F227" s="120" t="n"/>
      <c r="G227" s="120" t="n"/>
      <c r="H227" s="120" t="n"/>
      <c r="I227" s="117" t="n"/>
      <c r="J227" s="123" t="str">
        <f>IF(B227="","",IF(F227&lt;&gt;"",N(F227),ROUND(N(D227)*N(E227),2)))</f>
        <v/>
      </c>
      <c r="K227" s="123" t="str">
        <f>IF(B227="","",IF(H227&lt;&gt;"",N(H227),IF(B227="Dividendo",ROUND(J227*IFERROR(INDEX(Calcoli!$V$7:$V$21,MATCH(C227,Calcoli!$A$7:$A$21,0)),0.26),2),IF(B227="Vendita",ROUND(MAX(0,U227)*IFERROR(INDEX(Calcoli!$V$7:$V$21,MATCH(C227,Calcoli!$A$7:$A$21,0)),0.26),2),0))))</f>
        <v/>
      </c>
      <c r="L227" s="135" t="str">
        <f>IF(B227="","",IF(B227="Acquisto",-(J227+N(G227)),J227-N(G227)-K227))</f>
        <v/>
      </c>
      <c r="M227" s="127" t="str">
        <f>IF(B227="","",IF(ISNA(MATCH(C227,ETF!$A$7:$A$21,0)),"ETF?",IF(NOT(ISNUMBER(A227)),"Data?",IF(AND(B227&lt;&gt;"Dividendo",N(D227)&lt;=0),"Quote?",IF(AND(B227="Vendita",N(D227)&gt;N(Q227)+0.000001),"Quote?",IF(J227&lt;=0,"Importo?","✓"))))))</f>
        <v/>
      </c>
      <c r="N227" t="str">
        <f>IF(OR(B227="Acquisto",B227="Vendita"),COUNTIFS($C$5:C227,C227,$B$5:B227,"Acquisto")+COUNTIFS($C$5:C227,C227,$B$5:B227,"Vendita"),"")</f>
        <v/>
      </c>
      <c r="O227" t="str">
        <f>IF(N227="","",C227&amp;"|"&amp;N227)</f>
        <v/>
      </c>
      <c r="P227" t="str">
        <f>IF(N227="","",IF(N227=1,0,MATCH(C227&amp;"|"&amp;(N227-1),$O$5:$O$1004,0)))</f>
        <v/>
      </c>
      <c r="Q227" t="str">
        <f>IF(N227="","",IF(P227=0,SUMIFS(Calcoli!$C$7:$C$21,Calcoli!$A$7:$A$21,C227),INDEX($S$5:$S$1004,P227)))</f>
        <v/>
      </c>
      <c r="R227" t="str">
        <f>IF(N227="","",IF(P227=0,SUMIFS(Calcoli!$D$7:$D$21,Calcoli!$A$7:$A$21,C227),INDEX($T$5:$T$1004,P227)))</f>
        <v/>
      </c>
      <c r="S227" t="str">
        <f>IF(N227="","",IF(B227="Acquisto",Q227+N(D227),MAX(0,Q227-N(D227))))</f>
        <v/>
      </c>
      <c r="T227" t="str">
        <f>IF(N227="","",IF(B227="Acquisto",R227+J227+N(G227),IF(Q227&lt;=0,0,R227*(1-MIN(1,N(D227)/Q227)))))</f>
        <v/>
      </c>
      <c r="U227" t="str">
        <f>IF(B227&lt;&gt;"Vendita","",J227-N(G227)-IF(Q227&lt;=0,0,R227*MIN(1,N(D227)/Q227)))</f>
        <v/>
      </c>
      <c r="V227" t="str">
        <f>IF(B227&lt;&gt;"Dividendo","",IF(Calcoli!$B$251=1,J227,L227))</f>
        <v/>
      </c>
      <c r="W227" t="str">
        <f>IF(AND(V227&lt;&gt;"",ISNUMBER(A227)),A227,"")</f>
        <v/>
      </c>
    </row>
    <row r="228">
      <c r="A228" s="134" t="n"/>
      <c r="B228" s="116" t="n"/>
      <c r="C228" s="116" t="n"/>
      <c r="D228" s="121" t="n"/>
      <c r="E228" s="120" t="n"/>
      <c r="F228" s="120" t="n"/>
      <c r="G228" s="120" t="n"/>
      <c r="H228" s="120" t="n"/>
      <c r="I228" s="117" t="n"/>
      <c r="J228" s="123" t="str">
        <f>IF(B228="","",IF(F228&lt;&gt;"",N(F228),ROUND(N(D228)*N(E228),2)))</f>
        <v/>
      </c>
      <c r="K228" s="123" t="str">
        <f>IF(B228="","",IF(H228&lt;&gt;"",N(H228),IF(B228="Dividendo",ROUND(J228*IFERROR(INDEX(Calcoli!$V$7:$V$21,MATCH(C228,Calcoli!$A$7:$A$21,0)),0.26),2),IF(B228="Vendita",ROUND(MAX(0,U228)*IFERROR(INDEX(Calcoli!$V$7:$V$21,MATCH(C228,Calcoli!$A$7:$A$21,0)),0.26),2),0))))</f>
        <v/>
      </c>
      <c r="L228" s="135" t="str">
        <f>IF(B228="","",IF(B228="Acquisto",-(J228+N(G228)),J228-N(G228)-K228))</f>
        <v/>
      </c>
      <c r="M228" s="127" t="str">
        <f>IF(B228="","",IF(ISNA(MATCH(C228,ETF!$A$7:$A$21,0)),"ETF?",IF(NOT(ISNUMBER(A228)),"Data?",IF(AND(B228&lt;&gt;"Dividendo",N(D228)&lt;=0),"Quote?",IF(AND(B228="Vendita",N(D228)&gt;N(Q228)+0.000001),"Quote?",IF(J228&lt;=0,"Importo?","✓"))))))</f>
        <v/>
      </c>
      <c r="N228" t="str">
        <f>IF(OR(B228="Acquisto",B228="Vendita"),COUNTIFS($C$5:C228,C228,$B$5:B228,"Acquisto")+COUNTIFS($C$5:C228,C228,$B$5:B228,"Vendita"),"")</f>
        <v/>
      </c>
      <c r="O228" t="str">
        <f>IF(N228="","",C228&amp;"|"&amp;N228)</f>
        <v/>
      </c>
      <c r="P228" t="str">
        <f>IF(N228="","",IF(N228=1,0,MATCH(C228&amp;"|"&amp;(N228-1),$O$5:$O$1004,0)))</f>
        <v/>
      </c>
      <c r="Q228" t="str">
        <f>IF(N228="","",IF(P228=0,SUMIFS(Calcoli!$C$7:$C$21,Calcoli!$A$7:$A$21,C228),INDEX($S$5:$S$1004,P228)))</f>
        <v/>
      </c>
      <c r="R228" t="str">
        <f>IF(N228="","",IF(P228=0,SUMIFS(Calcoli!$D$7:$D$21,Calcoli!$A$7:$A$21,C228),INDEX($T$5:$T$1004,P228)))</f>
        <v/>
      </c>
      <c r="S228" t="str">
        <f>IF(N228="","",IF(B228="Acquisto",Q228+N(D228),MAX(0,Q228-N(D228))))</f>
        <v/>
      </c>
      <c r="T228" t="str">
        <f>IF(N228="","",IF(B228="Acquisto",R228+J228+N(G228),IF(Q228&lt;=0,0,R228*(1-MIN(1,N(D228)/Q228)))))</f>
        <v/>
      </c>
      <c r="U228" t="str">
        <f>IF(B228&lt;&gt;"Vendita","",J228-N(G228)-IF(Q228&lt;=0,0,R228*MIN(1,N(D228)/Q228)))</f>
        <v/>
      </c>
      <c r="V228" t="str">
        <f>IF(B228&lt;&gt;"Dividendo","",IF(Calcoli!$B$251=1,J228,L228))</f>
        <v/>
      </c>
      <c r="W228" t="str">
        <f>IF(AND(V228&lt;&gt;"",ISNUMBER(A228)),A228,"")</f>
        <v/>
      </c>
    </row>
    <row r="229">
      <c r="A229" s="134" t="n"/>
      <c r="B229" s="116" t="n"/>
      <c r="C229" s="116" t="n"/>
      <c r="D229" s="121" t="n"/>
      <c r="E229" s="120" t="n"/>
      <c r="F229" s="120" t="n"/>
      <c r="G229" s="120" t="n"/>
      <c r="H229" s="120" t="n"/>
      <c r="I229" s="117" t="n"/>
      <c r="J229" s="123" t="str">
        <f>IF(B229="","",IF(F229&lt;&gt;"",N(F229),ROUND(N(D229)*N(E229),2)))</f>
        <v/>
      </c>
      <c r="K229" s="123" t="str">
        <f>IF(B229="","",IF(H229&lt;&gt;"",N(H229),IF(B229="Dividendo",ROUND(J229*IFERROR(INDEX(Calcoli!$V$7:$V$21,MATCH(C229,Calcoli!$A$7:$A$21,0)),0.26),2),IF(B229="Vendita",ROUND(MAX(0,U229)*IFERROR(INDEX(Calcoli!$V$7:$V$21,MATCH(C229,Calcoli!$A$7:$A$21,0)),0.26),2),0))))</f>
        <v/>
      </c>
      <c r="L229" s="135" t="str">
        <f>IF(B229="","",IF(B229="Acquisto",-(J229+N(G229)),J229-N(G229)-K229))</f>
        <v/>
      </c>
      <c r="M229" s="127" t="str">
        <f>IF(B229="","",IF(ISNA(MATCH(C229,ETF!$A$7:$A$21,0)),"ETF?",IF(NOT(ISNUMBER(A229)),"Data?",IF(AND(B229&lt;&gt;"Dividendo",N(D229)&lt;=0),"Quote?",IF(AND(B229="Vendita",N(D229)&gt;N(Q229)+0.000001),"Quote?",IF(J229&lt;=0,"Importo?","✓"))))))</f>
        <v/>
      </c>
      <c r="N229" t="str">
        <f>IF(OR(B229="Acquisto",B229="Vendita"),COUNTIFS($C$5:C229,C229,$B$5:B229,"Acquisto")+COUNTIFS($C$5:C229,C229,$B$5:B229,"Vendita"),"")</f>
        <v/>
      </c>
      <c r="O229" t="str">
        <f>IF(N229="","",C229&amp;"|"&amp;N229)</f>
        <v/>
      </c>
      <c r="P229" t="str">
        <f>IF(N229="","",IF(N229=1,0,MATCH(C229&amp;"|"&amp;(N229-1),$O$5:$O$1004,0)))</f>
        <v/>
      </c>
      <c r="Q229" t="str">
        <f>IF(N229="","",IF(P229=0,SUMIFS(Calcoli!$C$7:$C$21,Calcoli!$A$7:$A$21,C229),INDEX($S$5:$S$1004,P229)))</f>
        <v/>
      </c>
      <c r="R229" t="str">
        <f>IF(N229="","",IF(P229=0,SUMIFS(Calcoli!$D$7:$D$21,Calcoli!$A$7:$A$21,C229),INDEX($T$5:$T$1004,P229)))</f>
        <v/>
      </c>
      <c r="S229" t="str">
        <f>IF(N229="","",IF(B229="Acquisto",Q229+N(D229),MAX(0,Q229-N(D229))))</f>
        <v/>
      </c>
      <c r="T229" t="str">
        <f>IF(N229="","",IF(B229="Acquisto",R229+J229+N(G229),IF(Q229&lt;=0,0,R229*(1-MIN(1,N(D229)/Q229)))))</f>
        <v/>
      </c>
      <c r="U229" t="str">
        <f>IF(B229&lt;&gt;"Vendita","",J229-N(G229)-IF(Q229&lt;=0,0,R229*MIN(1,N(D229)/Q229)))</f>
        <v/>
      </c>
      <c r="V229" t="str">
        <f>IF(B229&lt;&gt;"Dividendo","",IF(Calcoli!$B$251=1,J229,L229))</f>
        <v/>
      </c>
      <c r="W229" t="str">
        <f>IF(AND(V229&lt;&gt;"",ISNUMBER(A229)),A229,"")</f>
        <v/>
      </c>
    </row>
    <row r="230">
      <c r="A230" s="134" t="n"/>
      <c r="B230" s="116" t="n"/>
      <c r="C230" s="116" t="n"/>
      <c r="D230" s="121" t="n"/>
      <c r="E230" s="120" t="n"/>
      <c r="F230" s="120" t="n"/>
      <c r="G230" s="120" t="n"/>
      <c r="H230" s="120" t="n"/>
      <c r="I230" s="117" t="n"/>
      <c r="J230" s="123" t="str">
        <f>IF(B230="","",IF(F230&lt;&gt;"",N(F230),ROUND(N(D230)*N(E230),2)))</f>
        <v/>
      </c>
      <c r="K230" s="123" t="str">
        <f>IF(B230="","",IF(H230&lt;&gt;"",N(H230),IF(B230="Dividendo",ROUND(J230*IFERROR(INDEX(Calcoli!$V$7:$V$21,MATCH(C230,Calcoli!$A$7:$A$21,0)),0.26),2),IF(B230="Vendita",ROUND(MAX(0,U230)*IFERROR(INDEX(Calcoli!$V$7:$V$21,MATCH(C230,Calcoli!$A$7:$A$21,0)),0.26),2),0))))</f>
        <v/>
      </c>
      <c r="L230" s="135" t="str">
        <f>IF(B230="","",IF(B230="Acquisto",-(J230+N(G230)),J230-N(G230)-K230))</f>
        <v/>
      </c>
      <c r="M230" s="127" t="str">
        <f>IF(B230="","",IF(ISNA(MATCH(C230,ETF!$A$7:$A$21,0)),"ETF?",IF(NOT(ISNUMBER(A230)),"Data?",IF(AND(B230&lt;&gt;"Dividendo",N(D230)&lt;=0),"Quote?",IF(AND(B230="Vendita",N(D230)&gt;N(Q230)+0.000001),"Quote?",IF(J230&lt;=0,"Importo?","✓"))))))</f>
        <v/>
      </c>
      <c r="N230" t="str">
        <f>IF(OR(B230="Acquisto",B230="Vendita"),COUNTIFS($C$5:C230,C230,$B$5:B230,"Acquisto")+COUNTIFS($C$5:C230,C230,$B$5:B230,"Vendita"),"")</f>
        <v/>
      </c>
      <c r="O230" t="str">
        <f>IF(N230="","",C230&amp;"|"&amp;N230)</f>
        <v/>
      </c>
      <c r="P230" t="str">
        <f>IF(N230="","",IF(N230=1,0,MATCH(C230&amp;"|"&amp;(N230-1),$O$5:$O$1004,0)))</f>
        <v/>
      </c>
      <c r="Q230" t="str">
        <f>IF(N230="","",IF(P230=0,SUMIFS(Calcoli!$C$7:$C$21,Calcoli!$A$7:$A$21,C230),INDEX($S$5:$S$1004,P230)))</f>
        <v/>
      </c>
      <c r="R230" t="str">
        <f>IF(N230="","",IF(P230=0,SUMIFS(Calcoli!$D$7:$D$21,Calcoli!$A$7:$A$21,C230),INDEX($T$5:$T$1004,P230)))</f>
        <v/>
      </c>
      <c r="S230" t="str">
        <f>IF(N230="","",IF(B230="Acquisto",Q230+N(D230),MAX(0,Q230-N(D230))))</f>
        <v/>
      </c>
      <c r="T230" t="str">
        <f>IF(N230="","",IF(B230="Acquisto",R230+J230+N(G230),IF(Q230&lt;=0,0,R230*(1-MIN(1,N(D230)/Q230)))))</f>
        <v/>
      </c>
      <c r="U230" t="str">
        <f>IF(B230&lt;&gt;"Vendita","",J230-N(G230)-IF(Q230&lt;=0,0,R230*MIN(1,N(D230)/Q230)))</f>
        <v/>
      </c>
      <c r="V230" t="str">
        <f>IF(B230&lt;&gt;"Dividendo","",IF(Calcoli!$B$251=1,J230,L230))</f>
        <v/>
      </c>
      <c r="W230" t="str">
        <f>IF(AND(V230&lt;&gt;"",ISNUMBER(A230)),A230,"")</f>
        <v/>
      </c>
    </row>
    <row r="231">
      <c r="A231" s="134" t="n"/>
      <c r="B231" s="116" t="n"/>
      <c r="C231" s="116" t="n"/>
      <c r="D231" s="121" t="n"/>
      <c r="E231" s="120" t="n"/>
      <c r="F231" s="120" t="n"/>
      <c r="G231" s="120" t="n"/>
      <c r="H231" s="120" t="n"/>
      <c r="I231" s="117" t="n"/>
      <c r="J231" s="123" t="str">
        <f>IF(B231="","",IF(F231&lt;&gt;"",N(F231),ROUND(N(D231)*N(E231),2)))</f>
        <v/>
      </c>
      <c r="K231" s="123" t="str">
        <f>IF(B231="","",IF(H231&lt;&gt;"",N(H231),IF(B231="Dividendo",ROUND(J231*IFERROR(INDEX(Calcoli!$V$7:$V$21,MATCH(C231,Calcoli!$A$7:$A$21,0)),0.26),2),IF(B231="Vendita",ROUND(MAX(0,U231)*IFERROR(INDEX(Calcoli!$V$7:$V$21,MATCH(C231,Calcoli!$A$7:$A$21,0)),0.26),2),0))))</f>
        <v/>
      </c>
      <c r="L231" s="135" t="str">
        <f>IF(B231="","",IF(B231="Acquisto",-(J231+N(G231)),J231-N(G231)-K231))</f>
        <v/>
      </c>
      <c r="M231" s="127" t="str">
        <f>IF(B231="","",IF(ISNA(MATCH(C231,ETF!$A$7:$A$21,0)),"ETF?",IF(NOT(ISNUMBER(A231)),"Data?",IF(AND(B231&lt;&gt;"Dividendo",N(D231)&lt;=0),"Quote?",IF(AND(B231="Vendita",N(D231)&gt;N(Q231)+0.000001),"Quote?",IF(J231&lt;=0,"Importo?","✓"))))))</f>
        <v/>
      </c>
      <c r="N231" t="str">
        <f>IF(OR(B231="Acquisto",B231="Vendita"),COUNTIFS($C$5:C231,C231,$B$5:B231,"Acquisto")+COUNTIFS($C$5:C231,C231,$B$5:B231,"Vendita"),"")</f>
        <v/>
      </c>
      <c r="O231" t="str">
        <f>IF(N231="","",C231&amp;"|"&amp;N231)</f>
        <v/>
      </c>
      <c r="P231" t="str">
        <f>IF(N231="","",IF(N231=1,0,MATCH(C231&amp;"|"&amp;(N231-1),$O$5:$O$1004,0)))</f>
        <v/>
      </c>
      <c r="Q231" t="str">
        <f>IF(N231="","",IF(P231=0,SUMIFS(Calcoli!$C$7:$C$21,Calcoli!$A$7:$A$21,C231),INDEX($S$5:$S$1004,P231)))</f>
        <v/>
      </c>
      <c r="R231" t="str">
        <f>IF(N231="","",IF(P231=0,SUMIFS(Calcoli!$D$7:$D$21,Calcoli!$A$7:$A$21,C231),INDEX($T$5:$T$1004,P231)))</f>
        <v/>
      </c>
      <c r="S231" t="str">
        <f>IF(N231="","",IF(B231="Acquisto",Q231+N(D231),MAX(0,Q231-N(D231))))</f>
        <v/>
      </c>
      <c r="T231" t="str">
        <f>IF(N231="","",IF(B231="Acquisto",R231+J231+N(G231),IF(Q231&lt;=0,0,R231*(1-MIN(1,N(D231)/Q231)))))</f>
        <v/>
      </c>
      <c r="U231" t="str">
        <f>IF(B231&lt;&gt;"Vendita","",J231-N(G231)-IF(Q231&lt;=0,0,R231*MIN(1,N(D231)/Q231)))</f>
        <v/>
      </c>
      <c r="V231" t="str">
        <f>IF(B231&lt;&gt;"Dividendo","",IF(Calcoli!$B$251=1,J231,L231))</f>
        <v/>
      </c>
      <c r="W231" t="str">
        <f>IF(AND(V231&lt;&gt;"",ISNUMBER(A231)),A231,"")</f>
        <v/>
      </c>
    </row>
    <row r="232">
      <c r="A232" s="134" t="n"/>
      <c r="B232" s="116" t="n"/>
      <c r="C232" s="116" t="n"/>
      <c r="D232" s="121" t="n"/>
      <c r="E232" s="120" t="n"/>
      <c r="F232" s="120" t="n"/>
      <c r="G232" s="120" t="n"/>
      <c r="H232" s="120" t="n"/>
      <c r="I232" s="117" t="n"/>
      <c r="J232" s="123" t="str">
        <f>IF(B232="","",IF(F232&lt;&gt;"",N(F232),ROUND(N(D232)*N(E232),2)))</f>
        <v/>
      </c>
      <c r="K232" s="123" t="str">
        <f>IF(B232="","",IF(H232&lt;&gt;"",N(H232),IF(B232="Dividendo",ROUND(J232*IFERROR(INDEX(Calcoli!$V$7:$V$21,MATCH(C232,Calcoli!$A$7:$A$21,0)),0.26),2),IF(B232="Vendita",ROUND(MAX(0,U232)*IFERROR(INDEX(Calcoli!$V$7:$V$21,MATCH(C232,Calcoli!$A$7:$A$21,0)),0.26),2),0))))</f>
        <v/>
      </c>
      <c r="L232" s="135" t="str">
        <f>IF(B232="","",IF(B232="Acquisto",-(J232+N(G232)),J232-N(G232)-K232))</f>
        <v/>
      </c>
      <c r="M232" s="127" t="str">
        <f>IF(B232="","",IF(ISNA(MATCH(C232,ETF!$A$7:$A$21,0)),"ETF?",IF(NOT(ISNUMBER(A232)),"Data?",IF(AND(B232&lt;&gt;"Dividendo",N(D232)&lt;=0),"Quote?",IF(AND(B232="Vendita",N(D232)&gt;N(Q232)+0.000001),"Quote?",IF(J232&lt;=0,"Importo?","✓"))))))</f>
        <v/>
      </c>
      <c r="N232" t="str">
        <f>IF(OR(B232="Acquisto",B232="Vendita"),COUNTIFS($C$5:C232,C232,$B$5:B232,"Acquisto")+COUNTIFS($C$5:C232,C232,$B$5:B232,"Vendita"),"")</f>
        <v/>
      </c>
      <c r="O232" t="str">
        <f>IF(N232="","",C232&amp;"|"&amp;N232)</f>
        <v/>
      </c>
      <c r="P232" t="str">
        <f>IF(N232="","",IF(N232=1,0,MATCH(C232&amp;"|"&amp;(N232-1),$O$5:$O$1004,0)))</f>
        <v/>
      </c>
      <c r="Q232" t="str">
        <f>IF(N232="","",IF(P232=0,SUMIFS(Calcoli!$C$7:$C$21,Calcoli!$A$7:$A$21,C232),INDEX($S$5:$S$1004,P232)))</f>
        <v/>
      </c>
      <c r="R232" t="str">
        <f>IF(N232="","",IF(P232=0,SUMIFS(Calcoli!$D$7:$D$21,Calcoli!$A$7:$A$21,C232),INDEX($T$5:$T$1004,P232)))</f>
        <v/>
      </c>
      <c r="S232" t="str">
        <f>IF(N232="","",IF(B232="Acquisto",Q232+N(D232),MAX(0,Q232-N(D232))))</f>
        <v/>
      </c>
      <c r="T232" t="str">
        <f>IF(N232="","",IF(B232="Acquisto",R232+J232+N(G232),IF(Q232&lt;=0,0,R232*(1-MIN(1,N(D232)/Q232)))))</f>
        <v/>
      </c>
      <c r="U232" t="str">
        <f>IF(B232&lt;&gt;"Vendita","",J232-N(G232)-IF(Q232&lt;=0,0,R232*MIN(1,N(D232)/Q232)))</f>
        <v/>
      </c>
      <c r="V232" t="str">
        <f>IF(B232&lt;&gt;"Dividendo","",IF(Calcoli!$B$251=1,J232,L232))</f>
        <v/>
      </c>
      <c r="W232" t="str">
        <f>IF(AND(V232&lt;&gt;"",ISNUMBER(A232)),A232,"")</f>
        <v/>
      </c>
    </row>
    <row r="233">
      <c r="A233" s="134" t="n"/>
      <c r="B233" s="116" t="n"/>
      <c r="C233" s="116" t="n"/>
      <c r="D233" s="121" t="n"/>
      <c r="E233" s="120" t="n"/>
      <c r="F233" s="120" t="n"/>
      <c r="G233" s="120" t="n"/>
      <c r="H233" s="120" t="n"/>
      <c r="I233" s="117" t="n"/>
      <c r="J233" s="123" t="str">
        <f>IF(B233="","",IF(F233&lt;&gt;"",N(F233),ROUND(N(D233)*N(E233),2)))</f>
        <v/>
      </c>
      <c r="K233" s="123" t="str">
        <f>IF(B233="","",IF(H233&lt;&gt;"",N(H233),IF(B233="Dividendo",ROUND(J233*IFERROR(INDEX(Calcoli!$V$7:$V$21,MATCH(C233,Calcoli!$A$7:$A$21,0)),0.26),2),IF(B233="Vendita",ROUND(MAX(0,U233)*IFERROR(INDEX(Calcoli!$V$7:$V$21,MATCH(C233,Calcoli!$A$7:$A$21,0)),0.26),2),0))))</f>
        <v/>
      </c>
      <c r="L233" s="135" t="str">
        <f>IF(B233="","",IF(B233="Acquisto",-(J233+N(G233)),J233-N(G233)-K233))</f>
        <v/>
      </c>
      <c r="M233" s="127" t="str">
        <f>IF(B233="","",IF(ISNA(MATCH(C233,ETF!$A$7:$A$21,0)),"ETF?",IF(NOT(ISNUMBER(A233)),"Data?",IF(AND(B233&lt;&gt;"Dividendo",N(D233)&lt;=0),"Quote?",IF(AND(B233="Vendita",N(D233)&gt;N(Q233)+0.000001),"Quote?",IF(J233&lt;=0,"Importo?","✓"))))))</f>
        <v/>
      </c>
      <c r="N233" t="str">
        <f>IF(OR(B233="Acquisto",B233="Vendita"),COUNTIFS($C$5:C233,C233,$B$5:B233,"Acquisto")+COUNTIFS($C$5:C233,C233,$B$5:B233,"Vendita"),"")</f>
        <v/>
      </c>
      <c r="O233" t="str">
        <f>IF(N233="","",C233&amp;"|"&amp;N233)</f>
        <v/>
      </c>
      <c r="P233" t="str">
        <f>IF(N233="","",IF(N233=1,0,MATCH(C233&amp;"|"&amp;(N233-1),$O$5:$O$1004,0)))</f>
        <v/>
      </c>
      <c r="Q233" t="str">
        <f>IF(N233="","",IF(P233=0,SUMIFS(Calcoli!$C$7:$C$21,Calcoli!$A$7:$A$21,C233),INDEX($S$5:$S$1004,P233)))</f>
        <v/>
      </c>
      <c r="R233" t="str">
        <f>IF(N233="","",IF(P233=0,SUMIFS(Calcoli!$D$7:$D$21,Calcoli!$A$7:$A$21,C233),INDEX($T$5:$T$1004,P233)))</f>
        <v/>
      </c>
      <c r="S233" t="str">
        <f>IF(N233="","",IF(B233="Acquisto",Q233+N(D233),MAX(0,Q233-N(D233))))</f>
        <v/>
      </c>
      <c r="T233" t="str">
        <f>IF(N233="","",IF(B233="Acquisto",R233+J233+N(G233),IF(Q233&lt;=0,0,R233*(1-MIN(1,N(D233)/Q233)))))</f>
        <v/>
      </c>
      <c r="U233" t="str">
        <f>IF(B233&lt;&gt;"Vendita","",J233-N(G233)-IF(Q233&lt;=0,0,R233*MIN(1,N(D233)/Q233)))</f>
        <v/>
      </c>
      <c r="V233" t="str">
        <f>IF(B233&lt;&gt;"Dividendo","",IF(Calcoli!$B$251=1,J233,L233))</f>
        <v/>
      </c>
      <c r="W233" t="str">
        <f>IF(AND(V233&lt;&gt;"",ISNUMBER(A233)),A233,"")</f>
        <v/>
      </c>
    </row>
    <row r="234">
      <c r="A234" s="134" t="n"/>
      <c r="B234" s="116" t="n"/>
      <c r="C234" s="116" t="n"/>
      <c r="D234" s="121" t="n"/>
      <c r="E234" s="120" t="n"/>
      <c r="F234" s="120" t="n"/>
      <c r="G234" s="120" t="n"/>
      <c r="H234" s="120" t="n"/>
      <c r="I234" s="117" t="n"/>
      <c r="J234" s="123" t="str">
        <f>IF(B234="","",IF(F234&lt;&gt;"",N(F234),ROUND(N(D234)*N(E234),2)))</f>
        <v/>
      </c>
      <c r="K234" s="123" t="str">
        <f>IF(B234="","",IF(H234&lt;&gt;"",N(H234),IF(B234="Dividendo",ROUND(J234*IFERROR(INDEX(Calcoli!$V$7:$V$21,MATCH(C234,Calcoli!$A$7:$A$21,0)),0.26),2),IF(B234="Vendita",ROUND(MAX(0,U234)*IFERROR(INDEX(Calcoli!$V$7:$V$21,MATCH(C234,Calcoli!$A$7:$A$21,0)),0.26),2),0))))</f>
        <v/>
      </c>
      <c r="L234" s="135" t="str">
        <f>IF(B234="","",IF(B234="Acquisto",-(J234+N(G234)),J234-N(G234)-K234))</f>
        <v/>
      </c>
      <c r="M234" s="127" t="str">
        <f>IF(B234="","",IF(ISNA(MATCH(C234,ETF!$A$7:$A$21,0)),"ETF?",IF(NOT(ISNUMBER(A234)),"Data?",IF(AND(B234&lt;&gt;"Dividendo",N(D234)&lt;=0),"Quote?",IF(AND(B234="Vendita",N(D234)&gt;N(Q234)+0.000001),"Quote?",IF(J234&lt;=0,"Importo?","✓"))))))</f>
        <v/>
      </c>
      <c r="N234" t="str">
        <f>IF(OR(B234="Acquisto",B234="Vendita"),COUNTIFS($C$5:C234,C234,$B$5:B234,"Acquisto")+COUNTIFS($C$5:C234,C234,$B$5:B234,"Vendita"),"")</f>
        <v/>
      </c>
      <c r="O234" t="str">
        <f>IF(N234="","",C234&amp;"|"&amp;N234)</f>
        <v/>
      </c>
      <c r="P234" t="str">
        <f>IF(N234="","",IF(N234=1,0,MATCH(C234&amp;"|"&amp;(N234-1),$O$5:$O$1004,0)))</f>
        <v/>
      </c>
      <c r="Q234" t="str">
        <f>IF(N234="","",IF(P234=0,SUMIFS(Calcoli!$C$7:$C$21,Calcoli!$A$7:$A$21,C234),INDEX($S$5:$S$1004,P234)))</f>
        <v/>
      </c>
      <c r="R234" t="str">
        <f>IF(N234="","",IF(P234=0,SUMIFS(Calcoli!$D$7:$D$21,Calcoli!$A$7:$A$21,C234),INDEX($T$5:$T$1004,P234)))</f>
        <v/>
      </c>
      <c r="S234" t="str">
        <f>IF(N234="","",IF(B234="Acquisto",Q234+N(D234),MAX(0,Q234-N(D234))))</f>
        <v/>
      </c>
      <c r="T234" t="str">
        <f>IF(N234="","",IF(B234="Acquisto",R234+J234+N(G234),IF(Q234&lt;=0,0,R234*(1-MIN(1,N(D234)/Q234)))))</f>
        <v/>
      </c>
      <c r="U234" t="str">
        <f>IF(B234&lt;&gt;"Vendita","",J234-N(G234)-IF(Q234&lt;=0,0,R234*MIN(1,N(D234)/Q234)))</f>
        <v/>
      </c>
      <c r="V234" t="str">
        <f>IF(B234&lt;&gt;"Dividendo","",IF(Calcoli!$B$251=1,J234,L234))</f>
        <v/>
      </c>
      <c r="W234" t="str">
        <f>IF(AND(V234&lt;&gt;"",ISNUMBER(A234)),A234,"")</f>
        <v/>
      </c>
    </row>
    <row r="235">
      <c r="A235" s="134" t="n"/>
      <c r="B235" s="116" t="n"/>
      <c r="C235" s="116" t="n"/>
      <c r="D235" s="121" t="n"/>
      <c r="E235" s="120" t="n"/>
      <c r="F235" s="120" t="n"/>
      <c r="G235" s="120" t="n"/>
      <c r="H235" s="120" t="n"/>
      <c r="I235" s="117" t="n"/>
      <c r="J235" s="123" t="str">
        <f>IF(B235="","",IF(F235&lt;&gt;"",N(F235),ROUND(N(D235)*N(E235),2)))</f>
        <v/>
      </c>
      <c r="K235" s="123" t="str">
        <f>IF(B235="","",IF(H235&lt;&gt;"",N(H235),IF(B235="Dividendo",ROUND(J235*IFERROR(INDEX(Calcoli!$V$7:$V$21,MATCH(C235,Calcoli!$A$7:$A$21,0)),0.26),2),IF(B235="Vendita",ROUND(MAX(0,U235)*IFERROR(INDEX(Calcoli!$V$7:$V$21,MATCH(C235,Calcoli!$A$7:$A$21,0)),0.26),2),0))))</f>
        <v/>
      </c>
      <c r="L235" s="135" t="str">
        <f>IF(B235="","",IF(B235="Acquisto",-(J235+N(G235)),J235-N(G235)-K235))</f>
        <v/>
      </c>
      <c r="M235" s="127" t="str">
        <f>IF(B235="","",IF(ISNA(MATCH(C235,ETF!$A$7:$A$21,0)),"ETF?",IF(NOT(ISNUMBER(A235)),"Data?",IF(AND(B235&lt;&gt;"Dividendo",N(D235)&lt;=0),"Quote?",IF(AND(B235="Vendita",N(D235)&gt;N(Q235)+0.000001),"Quote?",IF(J235&lt;=0,"Importo?","✓"))))))</f>
        <v/>
      </c>
      <c r="N235" t="str">
        <f>IF(OR(B235="Acquisto",B235="Vendita"),COUNTIFS($C$5:C235,C235,$B$5:B235,"Acquisto")+COUNTIFS($C$5:C235,C235,$B$5:B235,"Vendita"),"")</f>
        <v/>
      </c>
      <c r="O235" t="str">
        <f>IF(N235="","",C235&amp;"|"&amp;N235)</f>
        <v/>
      </c>
      <c r="P235" t="str">
        <f>IF(N235="","",IF(N235=1,0,MATCH(C235&amp;"|"&amp;(N235-1),$O$5:$O$1004,0)))</f>
        <v/>
      </c>
      <c r="Q235" t="str">
        <f>IF(N235="","",IF(P235=0,SUMIFS(Calcoli!$C$7:$C$21,Calcoli!$A$7:$A$21,C235),INDEX($S$5:$S$1004,P235)))</f>
        <v/>
      </c>
      <c r="R235" t="str">
        <f>IF(N235="","",IF(P235=0,SUMIFS(Calcoli!$D$7:$D$21,Calcoli!$A$7:$A$21,C235),INDEX($T$5:$T$1004,P235)))</f>
        <v/>
      </c>
      <c r="S235" t="str">
        <f>IF(N235="","",IF(B235="Acquisto",Q235+N(D235),MAX(0,Q235-N(D235))))</f>
        <v/>
      </c>
      <c r="T235" t="str">
        <f>IF(N235="","",IF(B235="Acquisto",R235+J235+N(G235),IF(Q235&lt;=0,0,R235*(1-MIN(1,N(D235)/Q235)))))</f>
        <v/>
      </c>
      <c r="U235" t="str">
        <f>IF(B235&lt;&gt;"Vendita","",J235-N(G235)-IF(Q235&lt;=0,0,R235*MIN(1,N(D235)/Q235)))</f>
        <v/>
      </c>
      <c r="V235" t="str">
        <f>IF(B235&lt;&gt;"Dividendo","",IF(Calcoli!$B$251=1,J235,L235))</f>
        <v/>
      </c>
      <c r="W235" t="str">
        <f>IF(AND(V235&lt;&gt;"",ISNUMBER(A235)),A235,"")</f>
        <v/>
      </c>
    </row>
    <row r="236">
      <c r="A236" s="134" t="n"/>
      <c r="B236" s="116" t="n"/>
      <c r="C236" s="116" t="n"/>
      <c r="D236" s="121" t="n"/>
      <c r="E236" s="120" t="n"/>
      <c r="F236" s="120" t="n"/>
      <c r="G236" s="120" t="n"/>
      <c r="H236" s="120" t="n"/>
      <c r="I236" s="117" t="n"/>
      <c r="J236" s="123" t="str">
        <f>IF(B236="","",IF(F236&lt;&gt;"",N(F236),ROUND(N(D236)*N(E236),2)))</f>
        <v/>
      </c>
      <c r="K236" s="123" t="str">
        <f>IF(B236="","",IF(H236&lt;&gt;"",N(H236),IF(B236="Dividendo",ROUND(J236*IFERROR(INDEX(Calcoli!$V$7:$V$21,MATCH(C236,Calcoli!$A$7:$A$21,0)),0.26),2),IF(B236="Vendita",ROUND(MAX(0,U236)*IFERROR(INDEX(Calcoli!$V$7:$V$21,MATCH(C236,Calcoli!$A$7:$A$21,0)),0.26),2),0))))</f>
        <v/>
      </c>
      <c r="L236" s="135" t="str">
        <f>IF(B236="","",IF(B236="Acquisto",-(J236+N(G236)),J236-N(G236)-K236))</f>
        <v/>
      </c>
      <c r="M236" s="127" t="str">
        <f>IF(B236="","",IF(ISNA(MATCH(C236,ETF!$A$7:$A$21,0)),"ETF?",IF(NOT(ISNUMBER(A236)),"Data?",IF(AND(B236&lt;&gt;"Dividendo",N(D236)&lt;=0),"Quote?",IF(AND(B236="Vendita",N(D236)&gt;N(Q236)+0.000001),"Quote?",IF(J236&lt;=0,"Importo?","✓"))))))</f>
        <v/>
      </c>
      <c r="N236" t="str">
        <f>IF(OR(B236="Acquisto",B236="Vendita"),COUNTIFS($C$5:C236,C236,$B$5:B236,"Acquisto")+COUNTIFS($C$5:C236,C236,$B$5:B236,"Vendita"),"")</f>
        <v/>
      </c>
      <c r="O236" t="str">
        <f>IF(N236="","",C236&amp;"|"&amp;N236)</f>
        <v/>
      </c>
      <c r="P236" t="str">
        <f>IF(N236="","",IF(N236=1,0,MATCH(C236&amp;"|"&amp;(N236-1),$O$5:$O$1004,0)))</f>
        <v/>
      </c>
      <c r="Q236" t="str">
        <f>IF(N236="","",IF(P236=0,SUMIFS(Calcoli!$C$7:$C$21,Calcoli!$A$7:$A$21,C236),INDEX($S$5:$S$1004,P236)))</f>
        <v/>
      </c>
      <c r="R236" t="str">
        <f>IF(N236="","",IF(P236=0,SUMIFS(Calcoli!$D$7:$D$21,Calcoli!$A$7:$A$21,C236),INDEX($T$5:$T$1004,P236)))</f>
        <v/>
      </c>
      <c r="S236" t="str">
        <f>IF(N236="","",IF(B236="Acquisto",Q236+N(D236),MAX(0,Q236-N(D236))))</f>
        <v/>
      </c>
      <c r="T236" t="str">
        <f>IF(N236="","",IF(B236="Acquisto",R236+J236+N(G236),IF(Q236&lt;=0,0,R236*(1-MIN(1,N(D236)/Q236)))))</f>
        <v/>
      </c>
      <c r="U236" t="str">
        <f>IF(B236&lt;&gt;"Vendita","",J236-N(G236)-IF(Q236&lt;=0,0,R236*MIN(1,N(D236)/Q236)))</f>
        <v/>
      </c>
      <c r="V236" t="str">
        <f>IF(B236&lt;&gt;"Dividendo","",IF(Calcoli!$B$251=1,J236,L236))</f>
        <v/>
      </c>
      <c r="W236" t="str">
        <f>IF(AND(V236&lt;&gt;"",ISNUMBER(A236)),A236,"")</f>
        <v/>
      </c>
    </row>
    <row r="237">
      <c r="A237" s="134" t="n"/>
      <c r="B237" s="116" t="n"/>
      <c r="C237" s="116" t="n"/>
      <c r="D237" s="121" t="n"/>
      <c r="E237" s="120" t="n"/>
      <c r="F237" s="120" t="n"/>
      <c r="G237" s="120" t="n"/>
      <c r="H237" s="120" t="n"/>
      <c r="I237" s="117" t="n"/>
      <c r="J237" s="123" t="str">
        <f>IF(B237="","",IF(F237&lt;&gt;"",N(F237),ROUND(N(D237)*N(E237),2)))</f>
        <v/>
      </c>
      <c r="K237" s="123" t="str">
        <f>IF(B237="","",IF(H237&lt;&gt;"",N(H237),IF(B237="Dividendo",ROUND(J237*IFERROR(INDEX(Calcoli!$V$7:$V$21,MATCH(C237,Calcoli!$A$7:$A$21,0)),0.26),2),IF(B237="Vendita",ROUND(MAX(0,U237)*IFERROR(INDEX(Calcoli!$V$7:$V$21,MATCH(C237,Calcoli!$A$7:$A$21,0)),0.26),2),0))))</f>
        <v/>
      </c>
      <c r="L237" s="135" t="str">
        <f>IF(B237="","",IF(B237="Acquisto",-(J237+N(G237)),J237-N(G237)-K237))</f>
        <v/>
      </c>
      <c r="M237" s="127" t="str">
        <f>IF(B237="","",IF(ISNA(MATCH(C237,ETF!$A$7:$A$21,0)),"ETF?",IF(NOT(ISNUMBER(A237)),"Data?",IF(AND(B237&lt;&gt;"Dividendo",N(D237)&lt;=0),"Quote?",IF(AND(B237="Vendita",N(D237)&gt;N(Q237)+0.000001),"Quote?",IF(J237&lt;=0,"Importo?","✓"))))))</f>
        <v/>
      </c>
      <c r="N237" t="str">
        <f>IF(OR(B237="Acquisto",B237="Vendita"),COUNTIFS($C$5:C237,C237,$B$5:B237,"Acquisto")+COUNTIFS($C$5:C237,C237,$B$5:B237,"Vendita"),"")</f>
        <v/>
      </c>
      <c r="O237" t="str">
        <f>IF(N237="","",C237&amp;"|"&amp;N237)</f>
        <v/>
      </c>
      <c r="P237" t="str">
        <f>IF(N237="","",IF(N237=1,0,MATCH(C237&amp;"|"&amp;(N237-1),$O$5:$O$1004,0)))</f>
        <v/>
      </c>
      <c r="Q237" t="str">
        <f>IF(N237="","",IF(P237=0,SUMIFS(Calcoli!$C$7:$C$21,Calcoli!$A$7:$A$21,C237),INDEX($S$5:$S$1004,P237)))</f>
        <v/>
      </c>
      <c r="R237" t="str">
        <f>IF(N237="","",IF(P237=0,SUMIFS(Calcoli!$D$7:$D$21,Calcoli!$A$7:$A$21,C237),INDEX($T$5:$T$1004,P237)))</f>
        <v/>
      </c>
      <c r="S237" t="str">
        <f>IF(N237="","",IF(B237="Acquisto",Q237+N(D237),MAX(0,Q237-N(D237))))</f>
        <v/>
      </c>
      <c r="T237" t="str">
        <f>IF(N237="","",IF(B237="Acquisto",R237+J237+N(G237),IF(Q237&lt;=0,0,R237*(1-MIN(1,N(D237)/Q237)))))</f>
        <v/>
      </c>
      <c r="U237" t="str">
        <f>IF(B237&lt;&gt;"Vendita","",J237-N(G237)-IF(Q237&lt;=0,0,R237*MIN(1,N(D237)/Q237)))</f>
        <v/>
      </c>
      <c r="V237" t="str">
        <f>IF(B237&lt;&gt;"Dividendo","",IF(Calcoli!$B$251=1,J237,L237))</f>
        <v/>
      </c>
      <c r="W237" t="str">
        <f>IF(AND(V237&lt;&gt;"",ISNUMBER(A237)),A237,"")</f>
        <v/>
      </c>
    </row>
    <row r="238">
      <c r="A238" s="134" t="n"/>
      <c r="B238" s="116" t="n"/>
      <c r="C238" s="116" t="n"/>
      <c r="D238" s="121" t="n"/>
      <c r="E238" s="120" t="n"/>
      <c r="F238" s="120" t="n"/>
      <c r="G238" s="120" t="n"/>
      <c r="H238" s="120" t="n"/>
      <c r="I238" s="117" t="n"/>
      <c r="J238" s="123" t="str">
        <f>IF(B238="","",IF(F238&lt;&gt;"",N(F238),ROUND(N(D238)*N(E238),2)))</f>
        <v/>
      </c>
      <c r="K238" s="123" t="str">
        <f>IF(B238="","",IF(H238&lt;&gt;"",N(H238),IF(B238="Dividendo",ROUND(J238*IFERROR(INDEX(Calcoli!$V$7:$V$21,MATCH(C238,Calcoli!$A$7:$A$21,0)),0.26),2),IF(B238="Vendita",ROUND(MAX(0,U238)*IFERROR(INDEX(Calcoli!$V$7:$V$21,MATCH(C238,Calcoli!$A$7:$A$21,0)),0.26),2),0))))</f>
        <v/>
      </c>
      <c r="L238" s="135" t="str">
        <f>IF(B238="","",IF(B238="Acquisto",-(J238+N(G238)),J238-N(G238)-K238))</f>
        <v/>
      </c>
      <c r="M238" s="127" t="str">
        <f>IF(B238="","",IF(ISNA(MATCH(C238,ETF!$A$7:$A$21,0)),"ETF?",IF(NOT(ISNUMBER(A238)),"Data?",IF(AND(B238&lt;&gt;"Dividendo",N(D238)&lt;=0),"Quote?",IF(AND(B238="Vendita",N(D238)&gt;N(Q238)+0.000001),"Quote?",IF(J238&lt;=0,"Importo?","✓"))))))</f>
        <v/>
      </c>
      <c r="N238" t="str">
        <f>IF(OR(B238="Acquisto",B238="Vendita"),COUNTIFS($C$5:C238,C238,$B$5:B238,"Acquisto")+COUNTIFS($C$5:C238,C238,$B$5:B238,"Vendita"),"")</f>
        <v/>
      </c>
      <c r="O238" t="str">
        <f>IF(N238="","",C238&amp;"|"&amp;N238)</f>
        <v/>
      </c>
      <c r="P238" t="str">
        <f>IF(N238="","",IF(N238=1,0,MATCH(C238&amp;"|"&amp;(N238-1),$O$5:$O$1004,0)))</f>
        <v/>
      </c>
      <c r="Q238" t="str">
        <f>IF(N238="","",IF(P238=0,SUMIFS(Calcoli!$C$7:$C$21,Calcoli!$A$7:$A$21,C238),INDEX($S$5:$S$1004,P238)))</f>
        <v/>
      </c>
      <c r="R238" t="str">
        <f>IF(N238="","",IF(P238=0,SUMIFS(Calcoli!$D$7:$D$21,Calcoli!$A$7:$A$21,C238),INDEX($T$5:$T$1004,P238)))</f>
        <v/>
      </c>
      <c r="S238" t="str">
        <f>IF(N238="","",IF(B238="Acquisto",Q238+N(D238),MAX(0,Q238-N(D238))))</f>
        <v/>
      </c>
      <c r="T238" t="str">
        <f>IF(N238="","",IF(B238="Acquisto",R238+J238+N(G238),IF(Q238&lt;=0,0,R238*(1-MIN(1,N(D238)/Q238)))))</f>
        <v/>
      </c>
      <c r="U238" t="str">
        <f>IF(B238&lt;&gt;"Vendita","",J238-N(G238)-IF(Q238&lt;=0,0,R238*MIN(1,N(D238)/Q238)))</f>
        <v/>
      </c>
      <c r="V238" t="str">
        <f>IF(B238&lt;&gt;"Dividendo","",IF(Calcoli!$B$251=1,J238,L238))</f>
        <v/>
      </c>
      <c r="W238" t="str">
        <f>IF(AND(V238&lt;&gt;"",ISNUMBER(A238)),A238,"")</f>
        <v/>
      </c>
    </row>
    <row r="239">
      <c r="A239" s="134" t="n"/>
      <c r="B239" s="116" t="n"/>
      <c r="C239" s="116" t="n"/>
      <c r="D239" s="121" t="n"/>
      <c r="E239" s="120" t="n"/>
      <c r="F239" s="120" t="n"/>
      <c r="G239" s="120" t="n"/>
      <c r="H239" s="120" t="n"/>
      <c r="I239" s="117" t="n"/>
      <c r="J239" s="123" t="str">
        <f>IF(B239="","",IF(F239&lt;&gt;"",N(F239),ROUND(N(D239)*N(E239),2)))</f>
        <v/>
      </c>
      <c r="K239" s="123" t="str">
        <f>IF(B239="","",IF(H239&lt;&gt;"",N(H239),IF(B239="Dividendo",ROUND(J239*IFERROR(INDEX(Calcoli!$V$7:$V$21,MATCH(C239,Calcoli!$A$7:$A$21,0)),0.26),2),IF(B239="Vendita",ROUND(MAX(0,U239)*IFERROR(INDEX(Calcoli!$V$7:$V$21,MATCH(C239,Calcoli!$A$7:$A$21,0)),0.26),2),0))))</f>
        <v/>
      </c>
      <c r="L239" s="135" t="str">
        <f>IF(B239="","",IF(B239="Acquisto",-(J239+N(G239)),J239-N(G239)-K239))</f>
        <v/>
      </c>
      <c r="M239" s="127" t="str">
        <f>IF(B239="","",IF(ISNA(MATCH(C239,ETF!$A$7:$A$21,0)),"ETF?",IF(NOT(ISNUMBER(A239)),"Data?",IF(AND(B239&lt;&gt;"Dividendo",N(D239)&lt;=0),"Quote?",IF(AND(B239="Vendita",N(D239)&gt;N(Q239)+0.000001),"Quote?",IF(J239&lt;=0,"Importo?","✓"))))))</f>
        <v/>
      </c>
      <c r="N239" t="str">
        <f>IF(OR(B239="Acquisto",B239="Vendita"),COUNTIFS($C$5:C239,C239,$B$5:B239,"Acquisto")+COUNTIFS($C$5:C239,C239,$B$5:B239,"Vendita"),"")</f>
        <v/>
      </c>
      <c r="O239" t="str">
        <f>IF(N239="","",C239&amp;"|"&amp;N239)</f>
        <v/>
      </c>
      <c r="P239" t="str">
        <f>IF(N239="","",IF(N239=1,0,MATCH(C239&amp;"|"&amp;(N239-1),$O$5:$O$1004,0)))</f>
        <v/>
      </c>
      <c r="Q239" t="str">
        <f>IF(N239="","",IF(P239=0,SUMIFS(Calcoli!$C$7:$C$21,Calcoli!$A$7:$A$21,C239),INDEX($S$5:$S$1004,P239)))</f>
        <v/>
      </c>
      <c r="R239" t="str">
        <f>IF(N239="","",IF(P239=0,SUMIFS(Calcoli!$D$7:$D$21,Calcoli!$A$7:$A$21,C239),INDEX($T$5:$T$1004,P239)))</f>
        <v/>
      </c>
      <c r="S239" t="str">
        <f>IF(N239="","",IF(B239="Acquisto",Q239+N(D239),MAX(0,Q239-N(D239))))</f>
        <v/>
      </c>
      <c r="T239" t="str">
        <f>IF(N239="","",IF(B239="Acquisto",R239+J239+N(G239),IF(Q239&lt;=0,0,R239*(1-MIN(1,N(D239)/Q239)))))</f>
        <v/>
      </c>
      <c r="U239" t="str">
        <f>IF(B239&lt;&gt;"Vendita","",J239-N(G239)-IF(Q239&lt;=0,0,R239*MIN(1,N(D239)/Q239)))</f>
        <v/>
      </c>
      <c r="V239" t="str">
        <f>IF(B239&lt;&gt;"Dividendo","",IF(Calcoli!$B$251=1,J239,L239))</f>
        <v/>
      </c>
      <c r="W239" t="str">
        <f>IF(AND(V239&lt;&gt;"",ISNUMBER(A239)),A239,"")</f>
        <v/>
      </c>
    </row>
    <row r="240">
      <c r="A240" s="134" t="n"/>
      <c r="B240" s="116" t="n"/>
      <c r="C240" s="116" t="n"/>
      <c r="D240" s="121" t="n"/>
      <c r="E240" s="120" t="n"/>
      <c r="F240" s="120" t="n"/>
      <c r="G240" s="120" t="n"/>
      <c r="H240" s="120" t="n"/>
      <c r="I240" s="117" t="n"/>
      <c r="J240" s="123" t="str">
        <f>IF(B240="","",IF(F240&lt;&gt;"",N(F240),ROUND(N(D240)*N(E240),2)))</f>
        <v/>
      </c>
      <c r="K240" s="123" t="str">
        <f>IF(B240="","",IF(H240&lt;&gt;"",N(H240),IF(B240="Dividendo",ROUND(J240*IFERROR(INDEX(Calcoli!$V$7:$V$21,MATCH(C240,Calcoli!$A$7:$A$21,0)),0.26),2),IF(B240="Vendita",ROUND(MAX(0,U240)*IFERROR(INDEX(Calcoli!$V$7:$V$21,MATCH(C240,Calcoli!$A$7:$A$21,0)),0.26),2),0))))</f>
        <v/>
      </c>
      <c r="L240" s="135" t="str">
        <f>IF(B240="","",IF(B240="Acquisto",-(J240+N(G240)),J240-N(G240)-K240))</f>
        <v/>
      </c>
      <c r="M240" s="127" t="str">
        <f>IF(B240="","",IF(ISNA(MATCH(C240,ETF!$A$7:$A$21,0)),"ETF?",IF(NOT(ISNUMBER(A240)),"Data?",IF(AND(B240&lt;&gt;"Dividendo",N(D240)&lt;=0),"Quote?",IF(AND(B240="Vendita",N(D240)&gt;N(Q240)+0.000001),"Quote?",IF(J240&lt;=0,"Importo?","✓"))))))</f>
        <v/>
      </c>
      <c r="N240" t="str">
        <f>IF(OR(B240="Acquisto",B240="Vendita"),COUNTIFS($C$5:C240,C240,$B$5:B240,"Acquisto")+COUNTIFS($C$5:C240,C240,$B$5:B240,"Vendita"),"")</f>
        <v/>
      </c>
      <c r="O240" t="str">
        <f>IF(N240="","",C240&amp;"|"&amp;N240)</f>
        <v/>
      </c>
      <c r="P240" t="str">
        <f>IF(N240="","",IF(N240=1,0,MATCH(C240&amp;"|"&amp;(N240-1),$O$5:$O$1004,0)))</f>
        <v/>
      </c>
      <c r="Q240" t="str">
        <f>IF(N240="","",IF(P240=0,SUMIFS(Calcoli!$C$7:$C$21,Calcoli!$A$7:$A$21,C240),INDEX($S$5:$S$1004,P240)))</f>
        <v/>
      </c>
      <c r="R240" t="str">
        <f>IF(N240="","",IF(P240=0,SUMIFS(Calcoli!$D$7:$D$21,Calcoli!$A$7:$A$21,C240),INDEX($T$5:$T$1004,P240)))</f>
        <v/>
      </c>
      <c r="S240" t="str">
        <f>IF(N240="","",IF(B240="Acquisto",Q240+N(D240),MAX(0,Q240-N(D240))))</f>
        <v/>
      </c>
      <c r="T240" t="str">
        <f>IF(N240="","",IF(B240="Acquisto",R240+J240+N(G240),IF(Q240&lt;=0,0,R240*(1-MIN(1,N(D240)/Q240)))))</f>
        <v/>
      </c>
      <c r="U240" t="str">
        <f>IF(B240&lt;&gt;"Vendita","",J240-N(G240)-IF(Q240&lt;=0,0,R240*MIN(1,N(D240)/Q240)))</f>
        <v/>
      </c>
      <c r="V240" t="str">
        <f>IF(B240&lt;&gt;"Dividendo","",IF(Calcoli!$B$251=1,J240,L240))</f>
        <v/>
      </c>
      <c r="W240" t="str">
        <f>IF(AND(V240&lt;&gt;"",ISNUMBER(A240)),A240,"")</f>
        <v/>
      </c>
    </row>
    <row r="241">
      <c r="A241" s="134" t="n"/>
      <c r="B241" s="116" t="n"/>
      <c r="C241" s="116" t="n"/>
      <c r="D241" s="121" t="n"/>
      <c r="E241" s="120" t="n"/>
      <c r="F241" s="120" t="n"/>
      <c r="G241" s="120" t="n"/>
      <c r="H241" s="120" t="n"/>
      <c r="I241" s="117" t="n"/>
      <c r="J241" s="123" t="str">
        <f>IF(B241="","",IF(F241&lt;&gt;"",N(F241),ROUND(N(D241)*N(E241),2)))</f>
        <v/>
      </c>
      <c r="K241" s="123" t="str">
        <f>IF(B241="","",IF(H241&lt;&gt;"",N(H241),IF(B241="Dividendo",ROUND(J241*IFERROR(INDEX(Calcoli!$V$7:$V$21,MATCH(C241,Calcoli!$A$7:$A$21,0)),0.26),2),IF(B241="Vendita",ROUND(MAX(0,U241)*IFERROR(INDEX(Calcoli!$V$7:$V$21,MATCH(C241,Calcoli!$A$7:$A$21,0)),0.26),2),0))))</f>
        <v/>
      </c>
      <c r="L241" s="135" t="str">
        <f>IF(B241="","",IF(B241="Acquisto",-(J241+N(G241)),J241-N(G241)-K241))</f>
        <v/>
      </c>
      <c r="M241" s="127" t="str">
        <f>IF(B241="","",IF(ISNA(MATCH(C241,ETF!$A$7:$A$21,0)),"ETF?",IF(NOT(ISNUMBER(A241)),"Data?",IF(AND(B241&lt;&gt;"Dividendo",N(D241)&lt;=0),"Quote?",IF(AND(B241="Vendita",N(D241)&gt;N(Q241)+0.000001),"Quote?",IF(J241&lt;=0,"Importo?","✓"))))))</f>
        <v/>
      </c>
      <c r="N241" t="str">
        <f>IF(OR(B241="Acquisto",B241="Vendita"),COUNTIFS($C$5:C241,C241,$B$5:B241,"Acquisto")+COUNTIFS($C$5:C241,C241,$B$5:B241,"Vendita"),"")</f>
        <v/>
      </c>
      <c r="O241" t="str">
        <f>IF(N241="","",C241&amp;"|"&amp;N241)</f>
        <v/>
      </c>
      <c r="P241" t="str">
        <f>IF(N241="","",IF(N241=1,0,MATCH(C241&amp;"|"&amp;(N241-1),$O$5:$O$1004,0)))</f>
        <v/>
      </c>
      <c r="Q241" t="str">
        <f>IF(N241="","",IF(P241=0,SUMIFS(Calcoli!$C$7:$C$21,Calcoli!$A$7:$A$21,C241),INDEX($S$5:$S$1004,P241)))</f>
        <v/>
      </c>
      <c r="R241" t="str">
        <f>IF(N241="","",IF(P241=0,SUMIFS(Calcoli!$D$7:$D$21,Calcoli!$A$7:$A$21,C241),INDEX($T$5:$T$1004,P241)))</f>
        <v/>
      </c>
      <c r="S241" t="str">
        <f>IF(N241="","",IF(B241="Acquisto",Q241+N(D241),MAX(0,Q241-N(D241))))</f>
        <v/>
      </c>
      <c r="T241" t="str">
        <f>IF(N241="","",IF(B241="Acquisto",R241+J241+N(G241),IF(Q241&lt;=0,0,R241*(1-MIN(1,N(D241)/Q241)))))</f>
        <v/>
      </c>
      <c r="U241" t="str">
        <f>IF(B241&lt;&gt;"Vendita","",J241-N(G241)-IF(Q241&lt;=0,0,R241*MIN(1,N(D241)/Q241)))</f>
        <v/>
      </c>
      <c r="V241" t="str">
        <f>IF(B241&lt;&gt;"Dividendo","",IF(Calcoli!$B$251=1,J241,L241))</f>
        <v/>
      </c>
      <c r="W241" t="str">
        <f>IF(AND(V241&lt;&gt;"",ISNUMBER(A241)),A241,"")</f>
        <v/>
      </c>
    </row>
    <row r="242">
      <c r="A242" s="134" t="n"/>
      <c r="B242" s="116" t="n"/>
      <c r="C242" s="116" t="n"/>
      <c r="D242" s="121" t="n"/>
      <c r="E242" s="120" t="n"/>
      <c r="F242" s="120" t="n"/>
      <c r="G242" s="120" t="n"/>
      <c r="H242" s="120" t="n"/>
      <c r="I242" s="117" t="n"/>
      <c r="J242" s="123" t="str">
        <f>IF(B242="","",IF(F242&lt;&gt;"",N(F242),ROUND(N(D242)*N(E242),2)))</f>
        <v/>
      </c>
      <c r="K242" s="123" t="str">
        <f>IF(B242="","",IF(H242&lt;&gt;"",N(H242),IF(B242="Dividendo",ROUND(J242*IFERROR(INDEX(Calcoli!$V$7:$V$21,MATCH(C242,Calcoli!$A$7:$A$21,0)),0.26),2),IF(B242="Vendita",ROUND(MAX(0,U242)*IFERROR(INDEX(Calcoli!$V$7:$V$21,MATCH(C242,Calcoli!$A$7:$A$21,0)),0.26),2),0))))</f>
        <v/>
      </c>
      <c r="L242" s="135" t="str">
        <f>IF(B242="","",IF(B242="Acquisto",-(J242+N(G242)),J242-N(G242)-K242))</f>
        <v/>
      </c>
      <c r="M242" s="127" t="str">
        <f>IF(B242="","",IF(ISNA(MATCH(C242,ETF!$A$7:$A$21,0)),"ETF?",IF(NOT(ISNUMBER(A242)),"Data?",IF(AND(B242&lt;&gt;"Dividendo",N(D242)&lt;=0),"Quote?",IF(AND(B242="Vendita",N(D242)&gt;N(Q242)+0.000001),"Quote?",IF(J242&lt;=0,"Importo?","✓"))))))</f>
        <v/>
      </c>
      <c r="N242" t="str">
        <f>IF(OR(B242="Acquisto",B242="Vendita"),COUNTIFS($C$5:C242,C242,$B$5:B242,"Acquisto")+COUNTIFS($C$5:C242,C242,$B$5:B242,"Vendita"),"")</f>
        <v/>
      </c>
      <c r="O242" t="str">
        <f>IF(N242="","",C242&amp;"|"&amp;N242)</f>
        <v/>
      </c>
      <c r="P242" t="str">
        <f>IF(N242="","",IF(N242=1,0,MATCH(C242&amp;"|"&amp;(N242-1),$O$5:$O$1004,0)))</f>
        <v/>
      </c>
      <c r="Q242" t="str">
        <f>IF(N242="","",IF(P242=0,SUMIFS(Calcoli!$C$7:$C$21,Calcoli!$A$7:$A$21,C242),INDEX($S$5:$S$1004,P242)))</f>
        <v/>
      </c>
      <c r="R242" t="str">
        <f>IF(N242="","",IF(P242=0,SUMIFS(Calcoli!$D$7:$D$21,Calcoli!$A$7:$A$21,C242),INDEX($T$5:$T$1004,P242)))</f>
        <v/>
      </c>
      <c r="S242" t="str">
        <f>IF(N242="","",IF(B242="Acquisto",Q242+N(D242),MAX(0,Q242-N(D242))))</f>
        <v/>
      </c>
      <c r="T242" t="str">
        <f>IF(N242="","",IF(B242="Acquisto",R242+J242+N(G242),IF(Q242&lt;=0,0,R242*(1-MIN(1,N(D242)/Q242)))))</f>
        <v/>
      </c>
      <c r="U242" t="str">
        <f>IF(B242&lt;&gt;"Vendita","",J242-N(G242)-IF(Q242&lt;=0,0,R242*MIN(1,N(D242)/Q242)))</f>
        <v/>
      </c>
      <c r="V242" t="str">
        <f>IF(B242&lt;&gt;"Dividendo","",IF(Calcoli!$B$251=1,J242,L242))</f>
        <v/>
      </c>
      <c r="W242" t="str">
        <f>IF(AND(V242&lt;&gt;"",ISNUMBER(A242)),A242,"")</f>
        <v/>
      </c>
    </row>
    <row r="243">
      <c r="A243" s="134" t="n"/>
      <c r="B243" s="116" t="n"/>
      <c r="C243" s="116" t="n"/>
      <c r="D243" s="121" t="n"/>
      <c r="E243" s="120" t="n"/>
      <c r="F243" s="120" t="n"/>
      <c r="G243" s="120" t="n"/>
      <c r="H243" s="120" t="n"/>
      <c r="I243" s="117" t="n"/>
      <c r="J243" s="123" t="str">
        <f>IF(B243="","",IF(F243&lt;&gt;"",N(F243),ROUND(N(D243)*N(E243),2)))</f>
        <v/>
      </c>
      <c r="K243" s="123" t="str">
        <f>IF(B243="","",IF(H243&lt;&gt;"",N(H243),IF(B243="Dividendo",ROUND(J243*IFERROR(INDEX(Calcoli!$V$7:$V$21,MATCH(C243,Calcoli!$A$7:$A$21,0)),0.26),2),IF(B243="Vendita",ROUND(MAX(0,U243)*IFERROR(INDEX(Calcoli!$V$7:$V$21,MATCH(C243,Calcoli!$A$7:$A$21,0)),0.26),2),0))))</f>
        <v/>
      </c>
      <c r="L243" s="135" t="str">
        <f>IF(B243="","",IF(B243="Acquisto",-(J243+N(G243)),J243-N(G243)-K243))</f>
        <v/>
      </c>
      <c r="M243" s="127" t="str">
        <f>IF(B243="","",IF(ISNA(MATCH(C243,ETF!$A$7:$A$21,0)),"ETF?",IF(NOT(ISNUMBER(A243)),"Data?",IF(AND(B243&lt;&gt;"Dividendo",N(D243)&lt;=0),"Quote?",IF(AND(B243="Vendita",N(D243)&gt;N(Q243)+0.000001),"Quote?",IF(J243&lt;=0,"Importo?","✓"))))))</f>
        <v/>
      </c>
      <c r="N243" t="str">
        <f>IF(OR(B243="Acquisto",B243="Vendita"),COUNTIFS($C$5:C243,C243,$B$5:B243,"Acquisto")+COUNTIFS($C$5:C243,C243,$B$5:B243,"Vendita"),"")</f>
        <v/>
      </c>
      <c r="O243" t="str">
        <f>IF(N243="","",C243&amp;"|"&amp;N243)</f>
        <v/>
      </c>
      <c r="P243" t="str">
        <f>IF(N243="","",IF(N243=1,0,MATCH(C243&amp;"|"&amp;(N243-1),$O$5:$O$1004,0)))</f>
        <v/>
      </c>
      <c r="Q243" t="str">
        <f>IF(N243="","",IF(P243=0,SUMIFS(Calcoli!$C$7:$C$21,Calcoli!$A$7:$A$21,C243),INDEX($S$5:$S$1004,P243)))</f>
        <v/>
      </c>
      <c r="R243" t="str">
        <f>IF(N243="","",IF(P243=0,SUMIFS(Calcoli!$D$7:$D$21,Calcoli!$A$7:$A$21,C243),INDEX($T$5:$T$1004,P243)))</f>
        <v/>
      </c>
      <c r="S243" t="str">
        <f>IF(N243="","",IF(B243="Acquisto",Q243+N(D243),MAX(0,Q243-N(D243))))</f>
        <v/>
      </c>
      <c r="T243" t="str">
        <f>IF(N243="","",IF(B243="Acquisto",R243+J243+N(G243),IF(Q243&lt;=0,0,R243*(1-MIN(1,N(D243)/Q243)))))</f>
        <v/>
      </c>
      <c r="U243" t="str">
        <f>IF(B243&lt;&gt;"Vendita","",J243-N(G243)-IF(Q243&lt;=0,0,R243*MIN(1,N(D243)/Q243)))</f>
        <v/>
      </c>
      <c r="V243" t="str">
        <f>IF(B243&lt;&gt;"Dividendo","",IF(Calcoli!$B$251=1,J243,L243))</f>
        <v/>
      </c>
      <c r="W243" t="str">
        <f>IF(AND(V243&lt;&gt;"",ISNUMBER(A243)),A243,"")</f>
        <v/>
      </c>
    </row>
    <row r="244">
      <c r="A244" s="134" t="n"/>
      <c r="B244" s="116" t="n"/>
      <c r="C244" s="116" t="n"/>
      <c r="D244" s="121" t="n"/>
      <c r="E244" s="120" t="n"/>
      <c r="F244" s="120" t="n"/>
      <c r="G244" s="120" t="n"/>
      <c r="H244" s="120" t="n"/>
      <c r="I244" s="117" t="n"/>
      <c r="J244" s="123" t="str">
        <f>IF(B244="","",IF(F244&lt;&gt;"",N(F244),ROUND(N(D244)*N(E244),2)))</f>
        <v/>
      </c>
      <c r="K244" s="123" t="str">
        <f>IF(B244="","",IF(H244&lt;&gt;"",N(H244),IF(B244="Dividendo",ROUND(J244*IFERROR(INDEX(Calcoli!$V$7:$V$21,MATCH(C244,Calcoli!$A$7:$A$21,0)),0.26),2),IF(B244="Vendita",ROUND(MAX(0,U244)*IFERROR(INDEX(Calcoli!$V$7:$V$21,MATCH(C244,Calcoli!$A$7:$A$21,0)),0.26),2),0))))</f>
        <v/>
      </c>
      <c r="L244" s="135" t="str">
        <f>IF(B244="","",IF(B244="Acquisto",-(J244+N(G244)),J244-N(G244)-K244))</f>
        <v/>
      </c>
      <c r="M244" s="127" t="str">
        <f>IF(B244="","",IF(ISNA(MATCH(C244,ETF!$A$7:$A$21,0)),"ETF?",IF(NOT(ISNUMBER(A244)),"Data?",IF(AND(B244&lt;&gt;"Dividendo",N(D244)&lt;=0),"Quote?",IF(AND(B244="Vendita",N(D244)&gt;N(Q244)+0.000001),"Quote?",IF(J244&lt;=0,"Importo?","✓"))))))</f>
        <v/>
      </c>
      <c r="N244" t="str">
        <f>IF(OR(B244="Acquisto",B244="Vendita"),COUNTIFS($C$5:C244,C244,$B$5:B244,"Acquisto")+COUNTIFS($C$5:C244,C244,$B$5:B244,"Vendita"),"")</f>
        <v/>
      </c>
      <c r="O244" t="str">
        <f>IF(N244="","",C244&amp;"|"&amp;N244)</f>
        <v/>
      </c>
      <c r="P244" t="str">
        <f>IF(N244="","",IF(N244=1,0,MATCH(C244&amp;"|"&amp;(N244-1),$O$5:$O$1004,0)))</f>
        <v/>
      </c>
      <c r="Q244" t="str">
        <f>IF(N244="","",IF(P244=0,SUMIFS(Calcoli!$C$7:$C$21,Calcoli!$A$7:$A$21,C244),INDEX($S$5:$S$1004,P244)))</f>
        <v/>
      </c>
      <c r="R244" t="str">
        <f>IF(N244="","",IF(P244=0,SUMIFS(Calcoli!$D$7:$D$21,Calcoli!$A$7:$A$21,C244),INDEX($T$5:$T$1004,P244)))</f>
        <v/>
      </c>
      <c r="S244" t="str">
        <f>IF(N244="","",IF(B244="Acquisto",Q244+N(D244),MAX(0,Q244-N(D244))))</f>
        <v/>
      </c>
      <c r="T244" t="str">
        <f>IF(N244="","",IF(B244="Acquisto",R244+J244+N(G244),IF(Q244&lt;=0,0,R244*(1-MIN(1,N(D244)/Q244)))))</f>
        <v/>
      </c>
      <c r="U244" t="str">
        <f>IF(B244&lt;&gt;"Vendita","",J244-N(G244)-IF(Q244&lt;=0,0,R244*MIN(1,N(D244)/Q244)))</f>
        <v/>
      </c>
      <c r="V244" t="str">
        <f>IF(B244&lt;&gt;"Dividendo","",IF(Calcoli!$B$251=1,J244,L244))</f>
        <v/>
      </c>
      <c r="W244" t="str">
        <f>IF(AND(V244&lt;&gt;"",ISNUMBER(A244)),A244,"")</f>
        <v/>
      </c>
    </row>
    <row r="245">
      <c r="A245" s="134" t="n"/>
      <c r="B245" s="116" t="n"/>
      <c r="C245" s="116" t="n"/>
      <c r="D245" s="121" t="n"/>
      <c r="E245" s="120" t="n"/>
      <c r="F245" s="120" t="n"/>
      <c r="G245" s="120" t="n"/>
      <c r="H245" s="120" t="n"/>
      <c r="I245" s="117" t="n"/>
      <c r="J245" s="123" t="str">
        <f>IF(B245="","",IF(F245&lt;&gt;"",N(F245),ROUND(N(D245)*N(E245),2)))</f>
        <v/>
      </c>
      <c r="K245" s="123" t="str">
        <f>IF(B245="","",IF(H245&lt;&gt;"",N(H245),IF(B245="Dividendo",ROUND(J245*IFERROR(INDEX(Calcoli!$V$7:$V$21,MATCH(C245,Calcoli!$A$7:$A$21,0)),0.26),2),IF(B245="Vendita",ROUND(MAX(0,U245)*IFERROR(INDEX(Calcoli!$V$7:$V$21,MATCH(C245,Calcoli!$A$7:$A$21,0)),0.26),2),0))))</f>
        <v/>
      </c>
      <c r="L245" s="135" t="str">
        <f>IF(B245="","",IF(B245="Acquisto",-(J245+N(G245)),J245-N(G245)-K245))</f>
        <v/>
      </c>
      <c r="M245" s="127" t="str">
        <f>IF(B245="","",IF(ISNA(MATCH(C245,ETF!$A$7:$A$21,0)),"ETF?",IF(NOT(ISNUMBER(A245)),"Data?",IF(AND(B245&lt;&gt;"Dividendo",N(D245)&lt;=0),"Quote?",IF(AND(B245="Vendita",N(D245)&gt;N(Q245)+0.000001),"Quote?",IF(J245&lt;=0,"Importo?","✓"))))))</f>
        <v/>
      </c>
      <c r="N245" t="str">
        <f>IF(OR(B245="Acquisto",B245="Vendita"),COUNTIFS($C$5:C245,C245,$B$5:B245,"Acquisto")+COUNTIFS($C$5:C245,C245,$B$5:B245,"Vendita"),"")</f>
        <v/>
      </c>
      <c r="O245" t="str">
        <f>IF(N245="","",C245&amp;"|"&amp;N245)</f>
        <v/>
      </c>
      <c r="P245" t="str">
        <f>IF(N245="","",IF(N245=1,0,MATCH(C245&amp;"|"&amp;(N245-1),$O$5:$O$1004,0)))</f>
        <v/>
      </c>
      <c r="Q245" t="str">
        <f>IF(N245="","",IF(P245=0,SUMIFS(Calcoli!$C$7:$C$21,Calcoli!$A$7:$A$21,C245),INDEX($S$5:$S$1004,P245)))</f>
        <v/>
      </c>
      <c r="R245" t="str">
        <f>IF(N245="","",IF(P245=0,SUMIFS(Calcoli!$D$7:$D$21,Calcoli!$A$7:$A$21,C245),INDEX($T$5:$T$1004,P245)))</f>
        <v/>
      </c>
      <c r="S245" t="str">
        <f>IF(N245="","",IF(B245="Acquisto",Q245+N(D245),MAX(0,Q245-N(D245))))</f>
        <v/>
      </c>
      <c r="T245" t="str">
        <f>IF(N245="","",IF(B245="Acquisto",R245+J245+N(G245),IF(Q245&lt;=0,0,R245*(1-MIN(1,N(D245)/Q245)))))</f>
        <v/>
      </c>
      <c r="U245" t="str">
        <f>IF(B245&lt;&gt;"Vendita","",J245-N(G245)-IF(Q245&lt;=0,0,R245*MIN(1,N(D245)/Q245)))</f>
        <v/>
      </c>
      <c r="V245" t="str">
        <f>IF(B245&lt;&gt;"Dividendo","",IF(Calcoli!$B$251=1,J245,L245))</f>
        <v/>
      </c>
      <c r="W245" t="str">
        <f>IF(AND(V245&lt;&gt;"",ISNUMBER(A245)),A245,"")</f>
        <v/>
      </c>
    </row>
    <row r="246">
      <c r="A246" s="134" t="n"/>
      <c r="B246" s="116" t="n"/>
      <c r="C246" s="116" t="n"/>
      <c r="D246" s="121" t="n"/>
      <c r="E246" s="120" t="n"/>
      <c r="F246" s="120" t="n"/>
      <c r="G246" s="120" t="n"/>
      <c r="H246" s="120" t="n"/>
      <c r="I246" s="117" t="n"/>
      <c r="J246" s="123" t="str">
        <f>IF(B246="","",IF(F246&lt;&gt;"",N(F246),ROUND(N(D246)*N(E246),2)))</f>
        <v/>
      </c>
      <c r="K246" s="123" t="str">
        <f>IF(B246="","",IF(H246&lt;&gt;"",N(H246),IF(B246="Dividendo",ROUND(J246*IFERROR(INDEX(Calcoli!$V$7:$V$21,MATCH(C246,Calcoli!$A$7:$A$21,0)),0.26),2),IF(B246="Vendita",ROUND(MAX(0,U246)*IFERROR(INDEX(Calcoli!$V$7:$V$21,MATCH(C246,Calcoli!$A$7:$A$21,0)),0.26),2),0))))</f>
        <v/>
      </c>
      <c r="L246" s="135" t="str">
        <f>IF(B246="","",IF(B246="Acquisto",-(J246+N(G246)),J246-N(G246)-K246))</f>
        <v/>
      </c>
      <c r="M246" s="127" t="str">
        <f>IF(B246="","",IF(ISNA(MATCH(C246,ETF!$A$7:$A$21,0)),"ETF?",IF(NOT(ISNUMBER(A246)),"Data?",IF(AND(B246&lt;&gt;"Dividendo",N(D246)&lt;=0),"Quote?",IF(AND(B246="Vendita",N(D246)&gt;N(Q246)+0.000001),"Quote?",IF(J246&lt;=0,"Importo?","✓"))))))</f>
        <v/>
      </c>
      <c r="N246" t="str">
        <f>IF(OR(B246="Acquisto",B246="Vendita"),COUNTIFS($C$5:C246,C246,$B$5:B246,"Acquisto")+COUNTIFS($C$5:C246,C246,$B$5:B246,"Vendita"),"")</f>
        <v/>
      </c>
      <c r="O246" t="str">
        <f>IF(N246="","",C246&amp;"|"&amp;N246)</f>
        <v/>
      </c>
      <c r="P246" t="str">
        <f>IF(N246="","",IF(N246=1,0,MATCH(C246&amp;"|"&amp;(N246-1),$O$5:$O$1004,0)))</f>
        <v/>
      </c>
      <c r="Q246" t="str">
        <f>IF(N246="","",IF(P246=0,SUMIFS(Calcoli!$C$7:$C$21,Calcoli!$A$7:$A$21,C246),INDEX($S$5:$S$1004,P246)))</f>
        <v/>
      </c>
      <c r="R246" t="str">
        <f>IF(N246="","",IF(P246=0,SUMIFS(Calcoli!$D$7:$D$21,Calcoli!$A$7:$A$21,C246),INDEX($T$5:$T$1004,P246)))</f>
        <v/>
      </c>
      <c r="S246" t="str">
        <f>IF(N246="","",IF(B246="Acquisto",Q246+N(D246),MAX(0,Q246-N(D246))))</f>
        <v/>
      </c>
      <c r="T246" t="str">
        <f>IF(N246="","",IF(B246="Acquisto",R246+J246+N(G246),IF(Q246&lt;=0,0,R246*(1-MIN(1,N(D246)/Q246)))))</f>
        <v/>
      </c>
      <c r="U246" t="str">
        <f>IF(B246&lt;&gt;"Vendita","",J246-N(G246)-IF(Q246&lt;=0,0,R246*MIN(1,N(D246)/Q246)))</f>
        <v/>
      </c>
      <c r="V246" t="str">
        <f>IF(B246&lt;&gt;"Dividendo","",IF(Calcoli!$B$251=1,J246,L246))</f>
        <v/>
      </c>
      <c r="W246" t="str">
        <f>IF(AND(V246&lt;&gt;"",ISNUMBER(A246)),A246,"")</f>
        <v/>
      </c>
    </row>
    <row r="247">
      <c r="A247" s="134" t="n"/>
      <c r="B247" s="116" t="n"/>
      <c r="C247" s="116" t="n"/>
      <c r="D247" s="121" t="n"/>
      <c r="E247" s="120" t="n"/>
      <c r="F247" s="120" t="n"/>
      <c r="G247" s="120" t="n"/>
      <c r="H247" s="120" t="n"/>
      <c r="I247" s="117" t="n"/>
      <c r="J247" s="123" t="str">
        <f>IF(B247="","",IF(F247&lt;&gt;"",N(F247),ROUND(N(D247)*N(E247),2)))</f>
        <v/>
      </c>
      <c r="K247" s="123" t="str">
        <f>IF(B247="","",IF(H247&lt;&gt;"",N(H247),IF(B247="Dividendo",ROUND(J247*IFERROR(INDEX(Calcoli!$V$7:$V$21,MATCH(C247,Calcoli!$A$7:$A$21,0)),0.26),2),IF(B247="Vendita",ROUND(MAX(0,U247)*IFERROR(INDEX(Calcoli!$V$7:$V$21,MATCH(C247,Calcoli!$A$7:$A$21,0)),0.26),2),0))))</f>
        <v/>
      </c>
      <c r="L247" s="135" t="str">
        <f>IF(B247="","",IF(B247="Acquisto",-(J247+N(G247)),J247-N(G247)-K247))</f>
        <v/>
      </c>
      <c r="M247" s="127" t="str">
        <f>IF(B247="","",IF(ISNA(MATCH(C247,ETF!$A$7:$A$21,0)),"ETF?",IF(NOT(ISNUMBER(A247)),"Data?",IF(AND(B247&lt;&gt;"Dividendo",N(D247)&lt;=0),"Quote?",IF(AND(B247="Vendita",N(D247)&gt;N(Q247)+0.000001),"Quote?",IF(J247&lt;=0,"Importo?","✓"))))))</f>
        <v/>
      </c>
      <c r="N247" t="str">
        <f>IF(OR(B247="Acquisto",B247="Vendita"),COUNTIFS($C$5:C247,C247,$B$5:B247,"Acquisto")+COUNTIFS($C$5:C247,C247,$B$5:B247,"Vendita"),"")</f>
        <v/>
      </c>
      <c r="O247" t="str">
        <f>IF(N247="","",C247&amp;"|"&amp;N247)</f>
        <v/>
      </c>
      <c r="P247" t="str">
        <f>IF(N247="","",IF(N247=1,0,MATCH(C247&amp;"|"&amp;(N247-1),$O$5:$O$1004,0)))</f>
        <v/>
      </c>
      <c r="Q247" t="str">
        <f>IF(N247="","",IF(P247=0,SUMIFS(Calcoli!$C$7:$C$21,Calcoli!$A$7:$A$21,C247),INDEX($S$5:$S$1004,P247)))</f>
        <v/>
      </c>
      <c r="R247" t="str">
        <f>IF(N247="","",IF(P247=0,SUMIFS(Calcoli!$D$7:$D$21,Calcoli!$A$7:$A$21,C247),INDEX($T$5:$T$1004,P247)))</f>
        <v/>
      </c>
      <c r="S247" t="str">
        <f>IF(N247="","",IF(B247="Acquisto",Q247+N(D247),MAX(0,Q247-N(D247))))</f>
        <v/>
      </c>
      <c r="T247" t="str">
        <f>IF(N247="","",IF(B247="Acquisto",R247+J247+N(G247),IF(Q247&lt;=0,0,R247*(1-MIN(1,N(D247)/Q247)))))</f>
        <v/>
      </c>
      <c r="U247" t="str">
        <f>IF(B247&lt;&gt;"Vendita","",J247-N(G247)-IF(Q247&lt;=0,0,R247*MIN(1,N(D247)/Q247)))</f>
        <v/>
      </c>
      <c r="V247" t="str">
        <f>IF(B247&lt;&gt;"Dividendo","",IF(Calcoli!$B$251=1,J247,L247))</f>
        <v/>
      </c>
      <c r="W247" t="str">
        <f>IF(AND(V247&lt;&gt;"",ISNUMBER(A247)),A247,"")</f>
        <v/>
      </c>
    </row>
    <row r="248">
      <c r="A248" s="134" t="n"/>
      <c r="B248" s="116" t="n"/>
      <c r="C248" s="116" t="n"/>
      <c r="D248" s="121" t="n"/>
      <c r="E248" s="120" t="n"/>
      <c r="F248" s="120" t="n"/>
      <c r="G248" s="120" t="n"/>
      <c r="H248" s="120" t="n"/>
      <c r="I248" s="117" t="n"/>
      <c r="J248" s="123" t="str">
        <f>IF(B248="","",IF(F248&lt;&gt;"",N(F248),ROUND(N(D248)*N(E248),2)))</f>
        <v/>
      </c>
      <c r="K248" s="123" t="str">
        <f>IF(B248="","",IF(H248&lt;&gt;"",N(H248),IF(B248="Dividendo",ROUND(J248*IFERROR(INDEX(Calcoli!$V$7:$V$21,MATCH(C248,Calcoli!$A$7:$A$21,0)),0.26),2),IF(B248="Vendita",ROUND(MAX(0,U248)*IFERROR(INDEX(Calcoli!$V$7:$V$21,MATCH(C248,Calcoli!$A$7:$A$21,0)),0.26),2),0))))</f>
        <v/>
      </c>
      <c r="L248" s="135" t="str">
        <f>IF(B248="","",IF(B248="Acquisto",-(J248+N(G248)),J248-N(G248)-K248))</f>
        <v/>
      </c>
      <c r="M248" s="127" t="str">
        <f>IF(B248="","",IF(ISNA(MATCH(C248,ETF!$A$7:$A$21,0)),"ETF?",IF(NOT(ISNUMBER(A248)),"Data?",IF(AND(B248&lt;&gt;"Dividendo",N(D248)&lt;=0),"Quote?",IF(AND(B248="Vendita",N(D248)&gt;N(Q248)+0.000001),"Quote?",IF(J248&lt;=0,"Importo?","✓"))))))</f>
        <v/>
      </c>
      <c r="N248" t="str">
        <f>IF(OR(B248="Acquisto",B248="Vendita"),COUNTIFS($C$5:C248,C248,$B$5:B248,"Acquisto")+COUNTIFS($C$5:C248,C248,$B$5:B248,"Vendita"),"")</f>
        <v/>
      </c>
      <c r="O248" t="str">
        <f>IF(N248="","",C248&amp;"|"&amp;N248)</f>
        <v/>
      </c>
      <c r="P248" t="str">
        <f>IF(N248="","",IF(N248=1,0,MATCH(C248&amp;"|"&amp;(N248-1),$O$5:$O$1004,0)))</f>
        <v/>
      </c>
      <c r="Q248" t="str">
        <f>IF(N248="","",IF(P248=0,SUMIFS(Calcoli!$C$7:$C$21,Calcoli!$A$7:$A$21,C248),INDEX($S$5:$S$1004,P248)))</f>
        <v/>
      </c>
      <c r="R248" t="str">
        <f>IF(N248="","",IF(P248=0,SUMIFS(Calcoli!$D$7:$D$21,Calcoli!$A$7:$A$21,C248),INDEX($T$5:$T$1004,P248)))</f>
        <v/>
      </c>
      <c r="S248" t="str">
        <f>IF(N248="","",IF(B248="Acquisto",Q248+N(D248),MAX(0,Q248-N(D248))))</f>
        <v/>
      </c>
      <c r="T248" t="str">
        <f>IF(N248="","",IF(B248="Acquisto",R248+J248+N(G248),IF(Q248&lt;=0,0,R248*(1-MIN(1,N(D248)/Q248)))))</f>
        <v/>
      </c>
      <c r="U248" t="str">
        <f>IF(B248&lt;&gt;"Vendita","",J248-N(G248)-IF(Q248&lt;=0,0,R248*MIN(1,N(D248)/Q248)))</f>
        <v/>
      </c>
      <c r="V248" t="str">
        <f>IF(B248&lt;&gt;"Dividendo","",IF(Calcoli!$B$251=1,J248,L248))</f>
        <v/>
      </c>
      <c r="W248" t="str">
        <f>IF(AND(V248&lt;&gt;"",ISNUMBER(A248)),A248,"")</f>
        <v/>
      </c>
    </row>
    <row r="249">
      <c r="A249" s="134" t="n"/>
      <c r="B249" s="116" t="n"/>
      <c r="C249" s="116" t="n"/>
      <c r="D249" s="121" t="n"/>
      <c r="E249" s="120" t="n"/>
      <c r="F249" s="120" t="n"/>
      <c r="G249" s="120" t="n"/>
      <c r="H249" s="120" t="n"/>
      <c r="I249" s="117" t="n"/>
      <c r="J249" s="123" t="str">
        <f>IF(B249="","",IF(F249&lt;&gt;"",N(F249),ROUND(N(D249)*N(E249),2)))</f>
        <v/>
      </c>
      <c r="K249" s="123" t="str">
        <f>IF(B249="","",IF(H249&lt;&gt;"",N(H249),IF(B249="Dividendo",ROUND(J249*IFERROR(INDEX(Calcoli!$V$7:$V$21,MATCH(C249,Calcoli!$A$7:$A$21,0)),0.26),2),IF(B249="Vendita",ROUND(MAX(0,U249)*IFERROR(INDEX(Calcoli!$V$7:$V$21,MATCH(C249,Calcoli!$A$7:$A$21,0)),0.26),2),0))))</f>
        <v/>
      </c>
      <c r="L249" s="135" t="str">
        <f>IF(B249="","",IF(B249="Acquisto",-(J249+N(G249)),J249-N(G249)-K249))</f>
        <v/>
      </c>
      <c r="M249" s="127" t="str">
        <f>IF(B249="","",IF(ISNA(MATCH(C249,ETF!$A$7:$A$21,0)),"ETF?",IF(NOT(ISNUMBER(A249)),"Data?",IF(AND(B249&lt;&gt;"Dividendo",N(D249)&lt;=0),"Quote?",IF(AND(B249="Vendita",N(D249)&gt;N(Q249)+0.000001),"Quote?",IF(J249&lt;=0,"Importo?","✓"))))))</f>
        <v/>
      </c>
      <c r="N249" t="str">
        <f>IF(OR(B249="Acquisto",B249="Vendita"),COUNTIFS($C$5:C249,C249,$B$5:B249,"Acquisto")+COUNTIFS($C$5:C249,C249,$B$5:B249,"Vendita"),"")</f>
        <v/>
      </c>
      <c r="O249" t="str">
        <f>IF(N249="","",C249&amp;"|"&amp;N249)</f>
        <v/>
      </c>
      <c r="P249" t="str">
        <f>IF(N249="","",IF(N249=1,0,MATCH(C249&amp;"|"&amp;(N249-1),$O$5:$O$1004,0)))</f>
        <v/>
      </c>
      <c r="Q249" t="str">
        <f>IF(N249="","",IF(P249=0,SUMIFS(Calcoli!$C$7:$C$21,Calcoli!$A$7:$A$21,C249),INDEX($S$5:$S$1004,P249)))</f>
        <v/>
      </c>
      <c r="R249" t="str">
        <f>IF(N249="","",IF(P249=0,SUMIFS(Calcoli!$D$7:$D$21,Calcoli!$A$7:$A$21,C249),INDEX($T$5:$T$1004,P249)))</f>
        <v/>
      </c>
      <c r="S249" t="str">
        <f>IF(N249="","",IF(B249="Acquisto",Q249+N(D249),MAX(0,Q249-N(D249))))</f>
        <v/>
      </c>
      <c r="T249" t="str">
        <f>IF(N249="","",IF(B249="Acquisto",R249+J249+N(G249),IF(Q249&lt;=0,0,R249*(1-MIN(1,N(D249)/Q249)))))</f>
        <v/>
      </c>
      <c r="U249" t="str">
        <f>IF(B249&lt;&gt;"Vendita","",J249-N(G249)-IF(Q249&lt;=0,0,R249*MIN(1,N(D249)/Q249)))</f>
        <v/>
      </c>
      <c r="V249" t="str">
        <f>IF(B249&lt;&gt;"Dividendo","",IF(Calcoli!$B$251=1,J249,L249))</f>
        <v/>
      </c>
      <c r="W249" t="str">
        <f>IF(AND(V249&lt;&gt;"",ISNUMBER(A249)),A249,"")</f>
        <v/>
      </c>
    </row>
    <row r="250">
      <c r="A250" s="134" t="n"/>
      <c r="B250" s="116" t="n"/>
      <c r="C250" s="116" t="n"/>
      <c r="D250" s="121" t="n"/>
      <c r="E250" s="120" t="n"/>
      <c r="F250" s="120" t="n"/>
      <c r="G250" s="120" t="n"/>
      <c r="H250" s="120" t="n"/>
      <c r="I250" s="117" t="n"/>
      <c r="J250" s="123" t="str">
        <f>IF(B250="","",IF(F250&lt;&gt;"",N(F250),ROUND(N(D250)*N(E250),2)))</f>
        <v/>
      </c>
      <c r="K250" s="123" t="str">
        <f>IF(B250="","",IF(H250&lt;&gt;"",N(H250),IF(B250="Dividendo",ROUND(J250*IFERROR(INDEX(Calcoli!$V$7:$V$21,MATCH(C250,Calcoli!$A$7:$A$21,0)),0.26),2),IF(B250="Vendita",ROUND(MAX(0,U250)*IFERROR(INDEX(Calcoli!$V$7:$V$21,MATCH(C250,Calcoli!$A$7:$A$21,0)),0.26),2),0))))</f>
        <v/>
      </c>
      <c r="L250" s="135" t="str">
        <f>IF(B250="","",IF(B250="Acquisto",-(J250+N(G250)),J250-N(G250)-K250))</f>
        <v/>
      </c>
      <c r="M250" s="127" t="str">
        <f>IF(B250="","",IF(ISNA(MATCH(C250,ETF!$A$7:$A$21,0)),"ETF?",IF(NOT(ISNUMBER(A250)),"Data?",IF(AND(B250&lt;&gt;"Dividendo",N(D250)&lt;=0),"Quote?",IF(AND(B250="Vendita",N(D250)&gt;N(Q250)+0.000001),"Quote?",IF(J250&lt;=0,"Importo?","✓"))))))</f>
        <v/>
      </c>
      <c r="N250" t="str">
        <f>IF(OR(B250="Acquisto",B250="Vendita"),COUNTIFS($C$5:C250,C250,$B$5:B250,"Acquisto")+COUNTIFS($C$5:C250,C250,$B$5:B250,"Vendita"),"")</f>
        <v/>
      </c>
      <c r="O250" t="str">
        <f>IF(N250="","",C250&amp;"|"&amp;N250)</f>
        <v/>
      </c>
      <c r="P250" t="str">
        <f>IF(N250="","",IF(N250=1,0,MATCH(C250&amp;"|"&amp;(N250-1),$O$5:$O$1004,0)))</f>
        <v/>
      </c>
      <c r="Q250" t="str">
        <f>IF(N250="","",IF(P250=0,SUMIFS(Calcoli!$C$7:$C$21,Calcoli!$A$7:$A$21,C250),INDEX($S$5:$S$1004,P250)))</f>
        <v/>
      </c>
      <c r="R250" t="str">
        <f>IF(N250="","",IF(P250=0,SUMIFS(Calcoli!$D$7:$D$21,Calcoli!$A$7:$A$21,C250),INDEX($T$5:$T$1004,P250)))</f>
        <v/>
      </c>
      <c r="S250" t="str">
        <f>IF(N250="","",IF(B250="Acquisto",Q250+N(D250),MAX(0,Q250-N(D250))))</f>
        <v/>
      </c>
      <c r="T250" t="str">
        <f>IF(N250="","",IF(B250="Acquisto",R250+J250+N(G250),IF(Q250&lt;=0,0,R250*(1-MIN(1,N(D250)/Q250)))))</f>
        <v/>
      </c>
      <c r="U250" t="str">
        <f>IF(B250&lt;&gt;"Vendita","",J250-N(G250)-IF(Q250&lt;=0,0,R250*MIN(1,N(D250)/Q250)))</f>
        <v/>
      </c>
      <c r="V250" t="str">
        <f>IF(B250&lt;&gt;"Dividendo","",IF(Calcoli!$B$251=1,J250,L250))</f>
        <v/>
      </c>
      <c r="W250" t="str">
        <f>IF(AND(V250&lt;&gt;"",ISNUMBER(A250)),A250,"")</f>
        <v/>
      </c>
    </row>
    <row r="251">
      <c r="A251" s="134" t="n"/>
      <c r="B251" s="116" t="n"/>
      <c r="C251" s="116" t="n"/>
      <c r="D251" s="121" t="n"/>
      <c r="E251" s="120" t="n"/>
      <c r="F251" s="120" t="n"/>
      <c r="G251" s="120" t="n"/>
      <c r="H251" s="120" t="n"/>
      <c r="I251" s="117" t="n"/>
      <c r="J251" s="123" t="str">
        <f>IF(B251="","",IF(F251&lt;&gt;"",N(F251),ROUND(N(D251)*N(E251),2)))</f>
        <v/>
      </c>
      <c r="K251" s="123" t="str">
        <f>IF(B251="","",IF(H251&lt;&gt;"",N(H251),IF(B251="Dividendo",ROUND(J251*IFERROR(INDEX(Calcoli!$V$7:$V$21,MATCH(C251,Calcoli!$A$7:$A$21,0)),0.26),2),IF(B251="Vendita",ROUND(MAX(0,U251)*IFERROR(INDEX(Calcoli!$V$7:$V$21,MATCH(C251,Calcoli!$A$7:$A$21,0)),0.26),2),0))))</f>
        <v/>
      </c>
      <c r="L251" s="135" t="str">
        <f>IF(B251="","",IF(B251="Acquisto",-(J251+N(G251)),J251-N(G251)-K251))</f>
        <v/>
      </c>
      <c r="M251" s="127" t="str">
        <f>IF(B251="","",IF(ISNA(MATCH(C251,ETF!$A$7:$A$21,0)),"ETF?",IF(NOT(ISNUMBER(A251)),"Data?",IF(AND(B251&lt;&gt;"Dividendo",N(D251)&lt;=0),"Quote?",IF(AND(B251="Vendita",N(D251)&gt;N(Q251)+0.000001),"Quote?",IF(J251&lt;=0,"Importo?","✓"))))))</f>
        <v/>
      </c>
      <c r="N251" t="str">
        <f>IF(OR(B251="Acquisto",B251="Vendita"),COUNTIFS($C$5:C251,C251,$B$5:B251,"Acquisto")+COUNTIFS($C$5:C251,C251,$B$5:B251,"Vendita"),"")</f>
        <v/>
      </c>
      <c r="O251" t="str">
        <f>IF(N251="","",C251&amp;"|"&amp;N251)</f>
        <v/>
      </c>
      <c r="P251" t="str">
        <f>IF(N251="","",IF(N251=1,0,MATCH(C251&amp;"|"&amp;(N251-1),$O$5:$O$1004,0)))</f>
        <v/>
      </c>
      <c r="Q251" t="str">
        <f>IF(N251="","",IF(P251=0,SUMIFS(Calcoli!$C$7:$C$21,Calcoli!$A$7:$A$21,C251),INDEX($S$5:$S$1004,P251)))</f>
        <v/>
      </c>
      <c r="R251" t="str">
        <f>IF(N251="","",IF(P251=0,SUMIFS(Calcoli!$D$7:$D$21,Calcoli!$A$7:$A$21,C251),INDEX($T$5:$T$1004,P251)))</f>
        <v/>
      </c>
      <c r="S251" t="str">
        <f>IF(N251="","",IF(B251="Acquisto",Q251+N(D251),MAX(0,Q251-N(D251))))</f>
        <v/>
      </c>
      <c r="T251" t="str">
        <f>IF(N251="","",IF(B251="Acquisto",R251+J251+N(G251),IF(Q251&lt;=0,0,R251*(1-MIN(1,N(D251)/Q251)))))</f>
        <v/>
      </c>
      <c r="U251" t="str">
        <f>IF(B251&lt;&gt;"Vendita","",J251-N(G251)-IF(Q251&lt;=0,0,R251*MIN(1,N(D251)/Q251)))</f>
        <v/>
      </c>
      <c r="V251" t="str">
        <f>IF(B251&lt;&gt;"Dividendo","",IF(Calcoli!$B$251=1,J251,L251))</f>
        <v/>
      </c>
      <c r="W251" t="str">
        <f>IF(AND(V251&lt;&gt;"",ISNUMBER(A251)),A251,"")</f>
        <v/>
      </c>
    </row>
    <row r="252">
      <c r="A252" s="134" t="n"/>
      <c r="B252" s="116" t="n"/>
      <c r="C252" s="116" t="n"/>
      <c r="D252" s="121" t="n"/>
      <c r="E252" s="120" t="n"/>
      <c r="F252" s="120" t="n"/>
      <c r="G252" s="120" t="n"/>
      <c r="H252" s="120" t="n"/>
      <c r="I252" s="117" t="n"/>
      <c r="J252" s="123" t="str">
        <f>IF(B252="","",IF(F252&lt;&gt;"",N(F252),ROUND(N(D252)*N(E252),2)))</f>
        <v/>
      </c>
      <c r="K252" s="123" t="str">
        <f>IF(B252="","",IF(H252&lt;&gt;"",N(H252),IF(B252="Dividendo",ROUND(J252*IFERROR(INDEX(Calcoli!$V$7:$V$21,MATCH(C252,Calcoli!$A$7:$A$21,0)),0.26),2),IF(B252="Vendita",ROUND(MAX(0,U252)*IFERROR(INDEX(Calcoli!$V$7:$V$21,MATCH(C252,Calcoli!$A$7:$A$21,0)),0.26),2),0))))</f>
        <v/>
      </c>
      <c r="L252" s="135" t="str">
        <f>IF(B252="","",IF(B252="Acquisto",-(J252+N(G252)),J252-N(G252)-K252))</f>
        <v/>
      </c>
      <c r="M252" s="127" t="str">
        <f>IF(B252="","",IF(ISNA(MATCH(C252,ETF!$A$7:$A$21,0)),"ETF?",IF(NOT(ISNUMBER(A252)),"Data?",IF(AND(B252&lt;&gt;"Dividendo",N(D252)&lt;=0),"Quote?",IF(AND(B252="Vendita",N(D252)&gt;N(Q252)+0.000001),"Quote?",IF(J252&lt;=0,"Importo?","✓"))))))</f>
        <v/>
      </c>
      <c r="N252" t="str">
        <f>IF(OR(B252="Acquisto",B252="Vendita"),COUNTIFS($C$5:C252,C252,$B$5:B252,"Acquisto")+COUNTIFS($C$5:C252,C252,$B$5:B252,"Vendita"),"")</f>
        <v/>
      </c>
      <c r="O252" t="str">
        <f>IF(N252="","",C252&amp;"|"&amp;N252)</f>
        <v/>
      </c>
      <c r="P252" t="str">
        <f>IF(N252="","",IF(N252=1,0,MATCH(C252&amp;"|"&amp;(N252-1),$O$5:$O$1004,0)))</f>
        <v/>
      </c>
      <c r="Q252" t="str">
        <f>IF(N252="","",IF(P252=0,SUMIFS(Calcoli!$C$7:$C$21,Calcoli!$A$7:$A$21,C252),INDEX($S$5:$S$1004,P252)))</f>
        <v/>
      </c>
      <c r="R252" t="str">
        <f>IF(N252="","",IF(P252=0,SUMIFS(Calcoli!$D$7:$D$21,Calcoli!$A$7:$A$21,C252),INDEX($T$5:$T$1004,P252)))</f>
        <v/>
      </c>
      <c r="S252" t="str">
        <f>IF(N252="","",IF(B252="Acquisto",Q252+N(D252),MAX(0,Q252-N(D252))))</f>
        <v/>
      </c>
      <c r="T252" t="str">
        <f>IF(N252="","",IF(B252="Acquisto",R252+J252+N(G252),IF(Q252&lt;=0,0,R252*(1-MIN(1,N(D252)/Q252)))))</f>
        <v/>
      </c>
      <c r="U252" t="str">
        <f>IF(B252&lt;&gt;"Vendita","",J252-N(G252)-IF(Q252&lt;=0,0,R252*MIN(1,N(D252)/Q252)))</f>
        <v/>
      </c>
      <c r="V252" t="str">
        <f>IF(B252&lt;&gt;"Dividendo","",IF(Calcoli!$B$251=1,J252,L252))</f>
        <v/>
      </c>
      <c r="W252" t="str">
        <f>IF(AND(V252&lt;&gt;"",ISNUMBER(A252)),A252,"")</f>
        <v/>
      </c>
    </row>
    <row r="253">
      <c r="A253" s="134" t="n"/>
      <c r="B253" s="116" t="n"/>
      <c r="C253" s="116" t="n"/>
      <c r="D253" s="121" t="n"/>
      <c r="E253" s="120" t="n"/>
      <c r="F253" s="120" t="n"/>
      <c r="G253" s="120" t="n"/>
      <c r="H253" s="120" t="n"/>
      <c r="I253" s="117" t="n"/>
      <c r="J253" s="123" t="str">
        <f>IF(B253="","",IF(F253&lt;&gt;"",N(F253),ROUND(N(D253)*N(E253),2)))</f>
        <v/>
      </c>
      <c r="K253" s="123" t="str">
        <f>IF(B253="","",IF(H253&lt;&gt;"",N(H253),IF(B253="Dividendo",ROUND(J253*IFERROR(INDEX(Calcoli!$V$7:$V$21,MATCH(C253,Calcoli!$A$7:$A$21,0)),0.26),2),IF(B253="Vendita",ROUND(MAX(0,U253)*IFERROR(INDEX(Calcoli!$V$7:$V$21,MATCH(C253,Calcoli!$A$7:$A$21,0)),0.26),2),0))))</f>
        <v/>
      </c>
      <c r="L253" s="135" t="str">
        <f>IF(B253="","",IF(B253="Acquisto",-(J253+N(G253)),J253-N(G253)-K253))</f>
        <v/>
      </c>
      <c r="M253" s="127" t="str">
        <f>IF(B253="","",IF(ISNA(MATCH(C253,ETF!$A$7:$A$21,0)),"ETF?",IF(NOT(ISNUMBER(A253)),"Data?",IF(AND(B253&lt;&gt;"Dividendo",N(D253)&lt;=0),"Quote?",IF(AND(B253="Vendita",N(D253)&gt;N(Q253)+0.000001),"Quote?",IF(J253&lt;=0,"Importo?","✓"))))))</f>
        <v/>
      </c>
      <c r="N253" t="str">
        <f>IF(OR(B253="Acquisto",B253="Vendita"),COUNTIFS($C$5:C253,C253,$B$5:B253,"Acquisto")+COUNTIFS($C$5:C253,C253,$B$5:B253,"Vendita"),"")</f>
        <v/>
      </c>
      <c r="O253" t="str">
        <f>IF(N253="","",C253&amp;"|"&amp;N253)</f>
        <v/>
      </c>
      <c r="P253" t="str">
        <f>IF(N253="","",IF(N253=1,0,MATCH(C253&amp;"|"&amp;(N253-1),$O$5:$O$1004,0)))</f>
        <v/>
      </c>
      <c r="Q253" t="str">
        <f>IF(N253="","",IF(P253=0,SUMIFS(Calcoli!$C$7:$C$21,Calcoli!$A$7:$A$21,C253),INDEX($S$5:$S$1004,P253)))</f>
        <v/>
      </c>
      <c r="R253" t="str">
        <f>IF(N253="","",IF(P253=0,SUMIFS(Calcoli!$D$7:$D$21,Calcoli!$A$7:$A$21,C253),INDEX($T$5:$T$1004,P253)))</f>
        <v/>
      </c>
      <c r="S253" t="str">
        <f>IF(N253="","",IF(B253="Acquisto",Q253+N(D253),MAX(0,Q253-N(D253))))</f>
        <v/>
      </c>
      <c r="T253" t="str">
        <f>IF(N253="","",IF(B253="Acquisto",R253+J253+N(G253),IF(Q253&lt;=0,0,R253*(1-MIN(1,N(D253)/Q253)))))</f>
        <v/>
      </c>
      <c r="U253" t="str">
        <f>IF(B253&lt;&gt;"Vendita","",J253-N(G253)-IF(Q253&lt;=0,0,R253*MIN(1,N(D253)/Q253)))</f>
        <v/>
      </c>
      <c r="V253" t="str">
        <f>IF(B253&lt;&gt;"Dividendo","",IF(Calcoli!$B$251=1,J253,L253))</f>
        <v/>
      </c>
      <c r="W253" t="str">
        <f>IF(AND(V253&lt;&gt;"",ISNUMBER(A253)),A253,"")</f>
        <v/>
      </c>
    </row>
    <row r="254">
      <c r="A254" s="134" t="n"/>
      <c r="B254" s="116" t="n"/>
      <c r="C254" s="116" t="n"/>
      <c r="D254" s="121" t="n"/>
      <c r="E254" s="120" t="n"/>
      <c r="F254" s="120" t="n"/>
      <c r="G254" s="120" t="n"/>
      <c r="H254" s="120" t="n"/>
      <c r="I254" s="117" t="n"/>
      <c r="J254" s="123" t="str">
        <f>IF(B254="","",IF(F254&lt;&gt;"",N(F254),ROUND(N(D254)*N(E254),2)))</f>
        <v/>
      </c>
      <c r="K254" s="123" t="str">
        <f>IF(B254="","",IF(H254&lt;&gt;"",N(H254),IF(B254="Dividendo",ROUND(J254*IFERROR(INDEX(Calcoli!$V$7:$V$21,MATCH(C254,Calcoli!$A$7:$A$21,0)),0.26),2),IF(B254="Vendita",ROUND(MAX(0,U254)*IFERROR(INDEX(Calcoli!$V$7:$V$21,MATCH(C254,Calcoli!$A$7:$A$21,0)),0.26),2),0))))</f>
        <v/>
      </c>
      <c r="L254" s="135" t="str">
        <f>IF(B254="","",IF(B254="Acquisto",-(J254+N(G254)),J254-N(G254)-K254))</f>
        <v/>
      </c>
      <c r="M254" s="127" t="str">
        <f>IF(B254="","",IF(ISNA(MATCH(C254,ETF!$A$7:$A$21,0)),"ETF?",IF(NOT(ISNUMBER(A254)),"Data?",IF(AND(B254&lt;&gt;"Dividendo",N(D254)&lt;=0),"Quote?",IF(AND(B254="Vendita",N(D254)&gt;N(Q254)+0.000001),"Quote?",IF(J254&lt;=0,"Importo?","✓"))))))</f>
        <v/>
      </c>
      <c r="N254" t="str">
        <f>IF(OR(B254="Acquisto",B254="Vendita"),COUNTIFS($C$5:C254,C254,$B$5:B254,"Acquisto")+COUNTIFS($C$5:C254,C254,$B$5:B254,"Vendita"),"")</f>
        <v/>
      </c>
      <c r="O254" t="str">
        <f>IF(N254="","",C254&amp;"|"&amp;N254)</f>
        <v/>
      </c>
      <c r="P254" t="str">
        <f>IF(N254="","",IF(N254=1,0,MATCH(C254&amp;"|"&amp;(N254-1),$O$5:$O$1004,0)))</f>
        <v/>
      </c>
      <c r="Q254" t="str">
        <f>IF(N254="","",IF(P254=0,SUMIFS(Calcoli!$C$7:$C$21,Calcoli!$A$7:$A$21,C254),INDEX($S$5:$S$1004,P254)))</f>
        <v/>
      </c>
      <c r="R254" t="str">
        <f>IF(N254="","",IF(P254=0,SUMIFS(Calcoli!$D$7:$D$21,Calcoli!$A$7:$A$21,C254),INDEX($T$5:$T$1004,P254)))</f>
        <v/>
      </c>
      <c r="S254" t="str">
        <f>IF(N254="","",IF(B254="Acquisto",Q254+N(D254),MAX(0,Q254-N(D254))))</f>
        <v/>
      </c>
      <c r="T254" t="str">
        <f>IF(N254="","",IF(B254="Acquisto",R254+J254+N(G254),IF(Q254&lt;=0,0,R254*(1-MIN(1,N(D254)/Q254)))))</f>
        <v/>
      </c>
      <c r="U254" t="str">
        <f>IF(B254&lt;&gt;"Vendita","",J254-N(G254)-IF(Q254&lt;=0,0,R254*MIN(1,N(D254)/Q254)))</f>
        <v/>
      </c>
      <c r="V254" t="str">
        <f>IF(B254&lt;&gt;"Dividendo","",IF(Calcoli!$B$251=1,J254,L254))</f>
        <v/>
      </c>
      <c r="W254" t="str">
        <f>IF(AND(V254&lt;&gt;"",ISNUMBER(A254)),A254,"")</f>
        <v/>
      </c>
    </row>
    <row r="255">
      <c r="A255" s="134" t="n"/>
      <c r="B255" s="116" t="n"/>
      <c r="C255" s="116" t="n"/>
      <c r="D255" s="121" t="n"/>
      <c r="E255" s="120" t="n"/>
      <c r="F255" s="120" t="n"/>
      <c r="G255" s="120" t="n"/>
      <c r="H255" s="120" t="n"/>
      <c r="I255" s="117" t="n"/>
      <c r="J255" s="123" t="str">
        <f>IF(B255="","",IF(F255&lt;&gt;"",N(F255),ROUND(N(D255)*N(E255),2)))</f>
        <v/>
      </c>
      <c r="K255" s="123" t="str">
        <f>IF(B255="","",IF(H255&lt;&gt;"",N(H255),IF(B255="Dividendo",ROUND(J255*IFERROR(INDEX(Calcoli!$V$7:$V$21,MATCH(C255,Calcoli!$A$7:$A$21,0)),0.26),2),IF(B255="Vendita",ROUND(MAX(0,U255)*IFERROR(INDEX(Calcoli!$V$7:$V$21,MATCH(C255,Calcoli!$A$7:$A$21,0)),0.26),2),0))))</f>
        <v/>
      </c>
      <c r="L255" s="135" t="str">
        <f>IF(B255="","",IF(B255="Acquisto",-(J255+N(G255)),J255-N(G255)-K255))</f>
        <v/>
      </c>
      <c r="M255" s="127" t="str">
        <f>IF(B255="","",IF(ISNA(MATCH(C255,ETF!$A$7:$A$21,0)),"ETF?",IF(NOT(ISNUMBER(A255)),"Data?",IF(AND(B255&lt;&gt;"Dividendo",N(D255)&lt;=0),"Quote?",IF(AND(B255="Vendita",N(D255)&gt;N(Q255)+0.000001),"Quote?",IF(J255&lt;=0,"Importo?","✓"))))))</f>
        <v/>
      </c>
      <c r="N255" t="str">
        <f>IF(OR(B255="Acquisto",B255="Vendita"),COUNTIFS($C$5:C255,C255,$B$5:B255,"Acquisto")+COUNTIFS($C$5:C255,C255,$B$5:B255,"Vendita"),"")</f>
        <v/>
      </c>
      <c r="O255" t="str">
        <f>IF(N255="","",C255&amp;"|"&amp;N255)</f>
        <v/>
      </c>
      <c r="P255" t="str">
        <f>IF(N255="","",IF(N255=1,0,MATCH(C255&amp;"|"&amp;(N255-1),$O$5:$O$1004,0)))</f>
        <v/>
      </c>
      <c r="Q255" t="str">
        <f>IF(N255="","",IF(P255=0,SUMIFS(Calcoli!$C$7:$C$21,Calcoli!$A$7:$A$21,C255),INDEX($S$5:$S$1004,P255)))</f>
        <v/>
      </c>
      <c r="R255" t="str">
        <f>IF(N255="","",IF(P255=0,SUMIFS(Calcoli!$D$7:$D$21,Calcoli!$A$7:$A$21,C255),INDEX($T$5:$T$1004,P255)))</f>
        <v/>
      </c>
      <c r="S255" t="str">
        <f>IF(N255="","",IF(B255="Acquisto",Q255+N(D255),MAX(0,Q255-N(D255))))</f>
        <v/>
      </c>
      <c r="T255" t="str">
        <f>IF(N255="","",IF(B255="Acquisto",R255+J255+N(G255),IF(Q255&lt;=0,0,R255*(1-MIN(1,N(D255)/Q255)))))</f>
        <v/>
      </c>
      <c r="U255" t="str">
        <f>IF(B255&lt;&gt;"Vendita","",J255-N(G255)-IF(Q255&lt;=0,0,R255*MIN(1,N(D255)/Q255)))</f>
        <v/>
      </c>
      <c r="V255" t="str">
        <f>IF(B255&lt;&gt;"Dividendo","",IF(Calcoli!$B$251=1,J255,L255))</f>
        <v/>
      </c>
      <c r="W255" t="str">
        <f>IF(AND(V255&lt;&gt;"",ISNUMBER(A255)),A255,"")</f>
        <v/>
      </c>
    </row>
    <row r="256">
      <c r="A256" s="134" t="n"/>
      <c r="B256" s="116" t="n"/>
      <c r="C256" s="116" t="n"/>
      <c r="D256" s="121" t="n"/>
      <c r="E256" s="120" t="n"/>
      <c r="F256" s="120" t="n"/>
      <c r="G256" s="120" t="n"/>
      <c r="H256" s="120" t="n"/>
      <c r="I256" s="117" t="n"/>
      <c r="J256" s="123" t="str">
        <f>IF(B256="","",IF(F256&lt;&gt;"",N(F256),ROUND(N(D256)*N(E256),2)))</f>
        <v/>
      </c>
      <c r="K256" s="123" t="str">
        <f>IF(B256="","",IF(H256&lt;&gt;"",N(H256),IF(B256="Dividendo",ROUND(J256*IFERROR(INDEX(Calcoli!$V$7:$V$21,MATCH(C256,Calcoli!$A$7:$A$21,0)),0.26),2),IF(B256="Vendita",ROUND(MAX(0,U256)*IFERROR(INDEX(Calcoli!$V$7:$V$21,MATCH(C256,Calcoli!$A$7:$A$21,0)),0.26),2),0))))</f>
        <v/>
      </c>
      <c r="L256" s="135" t="str">
        <f>IF(B256="","",IF(B256="Acquisto",-(J256+N(G256)),J256-N(G256)-K256))</f>
        <v/>
      </c>
      <c r="M256" s="127" t="str">
        <f>IF(B256="","",IF(ISNA(MATCH(C256,ETF!$A$7:$A$21,0)),"ETF?",IF(NOT(ISNUMBER(A256)),"Data?",IF(AND(B256&lt;&gt;"Dividendo",N(D256)&lt;=0),"Quote?",IF(AND(B256="Vendita",N(D256)&gt;N(Q256)+0.000001),"Quote?",IF(J256&lt;=0,"Importo?","✓"))))))</f>
        <v/>
      </c>
      <c r="N256" t="str">
        <f>IF(OR(B256="Acquisto",B256="Vendita"),COUNTIFS($C$5:C256,C256,$B$5:B256,"Acquisto")+COUNTIFS($C$5:C256,C256,$B$5:B256,"Vendita"),"")</f>
        <v/>
      </c>
      <c r="O256" t="str">
        <f>IF(N256="","",C256&amp;"|"&amp;N256)</f>
        <v/>
      </c>
      <c r="P256" t="str">
        <f>IF(N256="","",IF(N256=1,0,MATCH(C256&amp;"|"&amp;(N256-1),$O$5:$O$1004,0)))</f>
        <v/>
      </c>
      <c r="Q256" t="str">
        <f>IF(N256="","",IF(P256=0,SUMIFS(Calcoli!$C$7:$C$21,Calcoli!$A$7:$A$21,C256),INDEX($S$5:$S$1004,P256)))</f>
        <v/>
      </c>
      <c r="R256" t="str">
        <f>IF(N256="","",IF(P256=0,SUMIFS(Calcoli!$D$7:$D$21,Calcoli!$A$7:$A$21,C256),INDEX($T$5:$T$1004,P256)))</f>
        <v/>
      </c>
      <c r="S256" t="str">
        <f>IF(N256="","",IF(B256="Acquisto",Q256+N(D256),MAX(0,Q256-N(D256))))</f>
        <v/>
      </c>
      <c r="T256" t="str">
        <f>IF(N256="","",IF(B256="Acquisto",R256+J256+N(G256),IF(Q256&lt;=0,0,R256*(1-MIN(1,N(D256)/Q256)))))</f>
        <v/>
      </c>
      <c r="U256" t="str">
        <f>IF(B256&lt;&gt;"Vendita","",J256-N(G256)-IF(Q256&lt;=0,0,R256*MIN(1,N(D256)/Q256)))</f>
        <v/>
      </c>
      <c r="V256" t="str">
        <f>IF(B256&lt;&gt;"Dividendo","",IF(Calcoli!$B$251=1,J256,L256))</f>
        <v/>
      </c>
      <c r="W256" t="str">
        <f>IF(AND(V256&lt;&gt;"",ISNUMBER(A256)),A256,"")</f>
        <v/>
      </c>
    </row>
    <row r="257">
      <c r="A257" s="134" t="n"/>
      <c r="B257" s="116" t="n"/>
      <c r="C257" s="116" t="n"/>
      <c r="D257" s="121" t="n"/>
      <c r="E257" s="120" t="n"/>
      <c r="F257" s="120" t="n"/>
      <c r="G257" s="120" t="n"/>
      <c r="H257" s="120" t="n"/>
      <c r="I257" s="117" t="n"/>
      <c r="J257" s="123" t="str">
        <f>IF(B257="","",IF(F257&lt;&gt;"",N(F257),ROUND(N(D257)*N(E257),2)))</f>
        <v/>
      </c>
      <c r="K257" s="123" t="str">
        <f>IF(B257="","",IF(H257&lt;&gt;"",N(H257),IF(B257="Dividendo",ROUND(J257*IFERROR(INDEX(Calcoli!$V$7:$V$21,MATCH(C257,Calcoli!$A$7:$A$21,0)),0.26),2),IF(B257="Vendita",ROUND(MAX(0,U257)*IFERROR(INDEX(Calcoli!$V$7:$V$21,MATCH(C257,Calcoli!$A$7:$A$21,0)),0.26),2),0))))</f>
        <v/>
      </c>
      <c r="L257" s="135" t="str">
        <f>IF(B257="","",IF(B257="Acquisto",-(J257+N(G257)),J257-N(G257)-K257))</f>
        <v/>
      </c>
      <c r="M257" s="127" t="str">
        <f>IF(B257="","",IF(ISNA(MATCH(C257,ETF!$A$7:$A$21,0)),"ETF?",IF(NOT(ISNUMBER(A257)),"Data?",IF(AND(B257&lt;&gt;"Dividendo",N(D257)&lt;=0),"Quote?",IF(AND(B257="Vendita",N(D257)&gt;N(Q257)+0.000001),"Quote?",IF(J257&lt;=0,"Importo?","✓"))))))</f>
        <v/>
      </c>
      <c r="N257" t="str">
        <f>IF(OR(B257="Acquisto",B257="Vendita"),COUNTIFS($C$5:C257,C257,$B$5:B257,"Acquisto")+COUNTIFS($C$5:C257,C257,$B$5:B257,"Vendita"),"")</f>
        <v/>
      </c>
      <c r="O257" t="str">
        <f>IF(N257="","",C257&amp;"|"&amp;N257)</f>
        <v/>
      </c>
      <c r="P257" t="str">
        <f>IF(N257="","",IF(N257=1,0,MATCH(C257&amp;"|"&amp;(N257-1),$O$5:$O$1004,0)))</f>
        <v/>
      </c>
      <c r="Q257" t="str">
        <f>IF(N257="","",IF(P257=0,SUMIFS(Calcoli!$C$7:$C$21,Calcoli!$A$7:$A$21,C257),INDEX($S$5:$S$1004,P257)))</f>
        <v/>
      </c>
      <c r="R257" t="str">
        <f>IF(N257="","",IF(P257=0,SUMIFS(Calcoli!$D$7:$D$21,Calcoli!$A$7:$A$21,C257),INDEX($T$5:$T$1004,P257)))</f>
        <v/>
      </c>
      <c r="S257" t="str">
        <f>IF(N257="","",IF(B257="Acquisto",Q257+N(D257),MAX(0,Q257-N(D257))))</f>
        <v/>
      </c>
      <c r="T257" t="str">
        <f>IF(N257="","",IF(B257="Acquisto",R257+J257+N(G257),IF(Q257&lt;=0,0,R257*(1-MIN(1,N(D257)/Q257)))))</f>
        <v/>
      </c>
      <c r="U257" t="str">
        <f>IF(B257&lt;&gt;"Vendita","",J257-N(G257)-IF(Q257&lt;=0,0,R257*MIN(1,N(D257)/Q257)))</f>
        <v/>
      </c>
      <c r="V257" t="str">
        <f>IF(B257&lt;&gt;"Dividendo","",IF(Calcoli!$B$251=1,J257,L257))</f>
        <v/>
      </c>
      <c r="W257" t="str">
        <f>IF(AND(V257&lt;&gt;"",ISNUMBER(A257)),A257,"")</f>
        <v/>
      </c>
    </row>
    <row r="258">
      <c r="A258" s="134" t="n"/>
      <c r="B258" s="116" t="n"/>
      <c r="C258" s="116" t="n"/>
      <c r="D258" s="121" t="n"/>
      <c r="E258" s="120" t="n"/>
      <c r="F258" s="120" t="n"/>
      <c r="G258" s="120" t="n"/>
      <c r="H258" s="120" t="n"/>
      <c r="I258" s="117" t="n"/>
      <c r="J258" s="123" t="str">
        <f>IF(B258="","",IF(F258&lt;&gt;"",N(F258),ROUND(N(D258)*N(E258),2)))</f>
        <v/>
      </c>
      <c r="K258" s="123" t="str">
        <f>IF(B258="","",IF(H258&lt;&gt;"",N(H258),IF(B258="Dividendo",ROUND(J258*IFERROR(INDEX(Calcoli!$V$7:$V$21,MATCH(C258,Calcoli!$A$7:$A$21,0)),0.26),2),IF(B258="Vendita",ROUND(MAX(0,U258)*IFERROR(INDEX(Calcoli!$V$7:$V$21,MATCH(C258,Calcoli!$A$7:$A$21,0)),0.26),2),0))))</f>
        <v/>
      </c>
      <c r="L258" s="135" t="str">
        <f>IF(B258="","",IF(B258="Acquisto",-(J258+N(G258)),J258-N(G258)-K258))</f>
        <v/>
      </c>
      <c r="M258" s="127" t="str">
        <f>IF(B258="","",IF(ISNA(MATCH(C258,ETF!$A$7:$A$21,0)),"ETF?",IF(NOT(ISNUMBER(A258)),"Data?",IF(AND(B258&lt;&gt;"Dividendo",N(D258)&lt;=0),"Quote?",IF(AND(B258="Vendita",N(D258)&gt;N(Q258)+0.000001),"Quote?",IF(J258&lt;=0,"Importo?","✓"))))))</f>
        <v/>
      </c>
      <c r="N258" t="str">
        <f>IF(OR(B258="Acquisto",B258="Vendita"),COUNTIFS($C$5:C258,C258,$B$5:B258,"Acquisto")+COUNTIFS($C$5:C258,C258,$B$5:B258,"Vendita"),"")</f>
        <v/>
      </c>
      <c r="O258" t="str">
        <f>IF(N258="","",C258&amp;"|"&amp;N258)</f>
        <v/>
      </c>
      <c r="P258" t="str">
        <f>IF(N258="","",IF(N258=1,0,MATCH(C258&amp;"|"&amp;(N258-1),$O$5:$O$1004,0)))</f>
        <v/>
      </c>
      <c r="Q258" t="str">
        <f>IF(N258="","",IF(P258=0,SUMIFS(Calcoli!$C$7:$C$21,Calcoli!$A$7:$A$21,C258),INDEX($S$5:$S$1004,P258)))</f>
        <v/>
      </c>
      <c r="R258" t="str">
        <f>IF(N258="","",IF(P258=0,SUMIFS(Calcoli!$D$7:$D$21,Calcoli!$A$7:$A$21,C258),INDEX($T$5:$T$1004,P258)))</f>
        <v/>
      </c>
      <c r="S258" t="str">
        <f>IF(N258="","",IF(B258="Acquisto",Q258+N(D258),MAX(0,Q258-N(D258))))</f>
        <v/>
      </c>
      <c r="T258" t="str">
        <f>IF(N258="","",IF(B258="Acquisto",R258+J258+N(G258),IF(Q258&lt;=0,0,R258*(1-MIN(1,N(D258)/Q258)))))</f>
        <v/>
      </c>
      <c r="U258" t="str">
        <f>IF(B258&lt;&gt;"Vendita","",J258-N(G258)-IF(Q258&lt;=0,0,R258*MIN(1,N(D258)/Q258)))</f>
        <v/>
      </c>
      <c r="V258" t="str">
        <f>IF(B258&lt;&gt;"Dividendo","",IF(Calcoli!$B$251=1,J258,L258))</f>
        <v/>
      </c>
      <c r="W258" t="str">
        <f>IF(AND(V258&lt;&gt;"",ISNUMBER(A258)),A258,"")</f>
        <v/>
      </c>
    </row>
    <row r="259">
      <c r="A259" s="134" t="n"/>
      <c r="B259" s="116" t="n"/>
      <c r="C259" s="116" t="n"/>
      <c r="D259" s="121" t="n"/>
      <c r="E259" s="120" t="n"/>
      <c r="F259" s="120" t="n"/>
      <c r="G259" s="120" t="n"/>
      <c r="H259" s="120" t="n"/>
      <c r="I259" s="117" t="n"/>
      <c r="J259" s="123" t="str">
        <f>IF(B259="","",IF(F259&lt;&gt;"",N(F259),ROUND(N(D259)*N(E259),2)))</f>
        <v/>
      </c>
      <c r="K259" s="123" t="str">
        <f>IF(B259="","",IF(H259&lt;&gt;"",N(H259),IF(B259="Dividendo",ROUND(J259*IFERROR(INDEX(Calcoli!$V$7:$V$21,MATCH(C259,Calcoli!$A$7:$A$21,0)),0.26),2),IF(B259="Vendita",ROUND(MAX(0,U259)*IFERROR(INDEX(Calcoli!$V$7:$V$21,MATCH(C259,Calcoli!$A$7:$A$21,0)),0.26),2),0))))</f>
        <v/>
      </c>
      <c r="L259" s="135" t="str">
        <f>IF(B259="","",IF(B259="Acquisto",-(J259+N(G259)),J259-N(G259)-K259))</f>
        <v/>
      </c>
      <c r="M259" s="127" t="str">
        <f>IF(B259="","",IF(ISNA(MATCH(C259,ETF!$A$7:$A$21,0)),"ETF?",IF(NOT(ISNUMBER(A259)),"Data?",IF(AND(B259&lt;&gt;"Dividendo",N(D259)&lt;=0),"Quote?",IF(AND(B259="Vendita",N(D259)&gt;N(Q259)+0.000001),"Quote?",IF(J259&lt;=0,"Importo?","✓"))))))</f>
        <v/>
      </c>
      <c r="N259" t="str">
        <f>IF(OR(B259="Acquisto",B259="Vendita"),COUNTIFS($C$5:C259,C259,$B$5:B259,"Acquisto")+COUNTIFS($C$5:C259,C259,$B$5:B259,"Vendita"),"")</f>
        <v/>
      </c>
      <c r="O259" t="str">
        <f>IF(N259="","",C259&amp;"|"&amp;N259)</f>
        <v/>
      </c>
      <c r="P259" t="str">
        <f>IF(N259="","",IF(N259=1,0,MATCH(C259&amp;"|"&amp;(N259-1),$O$5:$O$1004,0)))</f>
        <v/>
      </c>
      <c r="Q259" t="str">
        <f>IF(N259="","",IF(P259=0,SUMIFS(Calcoli!$C$7:$C$21,Calcoli!$A$7:$A$21,C259),INDEX($S$5:$S$1004,P259)))</f>
        <v/>
      </c>
      <c r="R259" t="str">
        <f>IF(N259="","",IF(P259=0,SUMIFS(Calcoli!$D$7:$D$21,Calcoli!$A$7:$A$21,C259),INDEX($T$5:$T$1004,P259)))</f>
        <v/>
      </c>
      <c r="S259" t="str">
        <f>IF(N259="","",IF(B259="Acquisto",Q259+N(D259),MAX(0,Q259-N(D259))))</f>
        <v/>
      </c>
      <c r="T259" t="str">
        <f>IF(N259="","",IF(B259="Acquisto",R259+J259+N(G259),IF(Q259&lt;=0,0,R259*(1-MIN(1,N(D259)/Q259)))))</f>
        <v/>
      </c>
      <c r="U259" t="str">
        <f>IF(B259&lt;&gt;"Vendita","",J259-N(G259)-IF(Q259&lt;=0,0,R259*MIN(1,N(D259)/Q259)))</f>
        <v/>
      </c>
      <c r="V259" t="str">
        <f>IF(B259&lt;&gt;"Dividendo","",IF(Calcoli!$B$251=1,J259,L259))</f>
        <v/>
      </c>
      <c r="W259" t="str">
        <f>IF(AND(V259&lt;&gt;"",ISNUMBER(A259)),A259,"")</f>
        <v/>
      </c>
    </row>
    <row r="260">
      <c r="A260" s="134" t="n"/>
      <c r="B260" s="116" t="n"/>
      <c r="C260" s="116" t="n"/>
      <c r="D260" s="121" t="n"/>
      <c r="E260" s="120" t="n"/>
      <c r="F260" s="120" t="n"/>
      <c r="G260" s="120" t="n"/>
      <c r="H260" s="120" t="n"/>
      <c r="I260" s="117" t="n"/>
      <c r="J260" s="123" t="str">
        <f>IF(B260="","",IF(F260&lt;&gt;"",N(F260),ROUND(N(D260)*N(E260),2)))</f>
        <v/>
      </c>
      <c r="K260" s="123" t="str">
        <f>IF(B260="","",IF(H260&lt;&gt;"",N(H260),IF(B260="Dividendo",ROUND(J260*IFERROR(INDEX(Calcoli!$V$7:$V$21,MATCH(C260,Calcoli!$A$7:$A$21,0)),0.26),2),IF(B260="Vendita",ROUND(MAX(0,U260)*IFERROR(INDEX(Calcoli!$V$7:$V$21,MATCH(C260,Calcoli!$A$7:$A$21,0)),0.26),2),0))))</f>
        <v/>
      </c>
      <c r="L260" s="135" t="str">
        <f>IF(B260="","",IF(B260="Acquisto",-(J260+N(G260)),J260-N(G260)-K260))</f>
        <v/>
      </c>
      <c r="M260" s="127" t="str">
        <f>IF(B260="","",IF(ISNA(MATCH(C260,ETF!$A$7:$A$21,0)),"ETF?",IF(NOT(ISNUMBER(A260)),"Data?",IF(AND(B260&lt;&gt;"Dividendo",N(D260)&lt;=0),"Quote?",IF(AND(B260="Vendita",N(D260)&gt;N(Q260)+0.000001),"Quote?",IF(J260&lt;=0,"Importo?","✓"))))))</f>
        <v/>
      </c>
      <c r="N260" t="str">
        <f>IF(OR(B260="Acquisto",B260="Vendita"),COUNTIFS($C$5:C260,C260,$B$5:B260,"Acquisto")+COUNTIFS($C$5:C260,C260,$B$5:B260,"Vendita"),"")</f>
        <v/>
      </c>
      <c r="O260" t="str">
        <f>IF(N260="","",C260&amp;"|"&amp;N260)</f>
        <v/>
      </c>
      <c r="P260" t="str">
        <f>IF(N260="","",IF(N260=1,0,MATCH(C260&amp;"|"&amp;(N260-1),$O$5:$O$1004,0)))</f>
        <v/>
      </c>
      <c r="Q260" t="str">
        <f>IF(N260="","",IF(P260=0,SUMIFS(Calcoli!$C$7:$C$21,Calcoli!$A$7:$A$21,C260),INDEX($S$5:$S$1004,P260)))</f>
        <v/>
      </c>
      <c r="R260" t="str">
        <f>IF(N260="","",IF(P260=0,SUMIFS(Calcoli!$D$7:$D$21,Calcoli!$A$7:$A$21,C260),INDEX($T$5:$T$1004,P260)))</f>
        <v/>
      </c>
      <c r="S260" t="str">
        <f>IF(N260="","",IF(B260="Acquisto",Q260+N(D260),MAX(0,Q260-N(D260))))</f>
        <v/>
      </c>
      <c r="T260" t="str">
        <f>IF(N260="","",IF(B260="Acquisto",R260+J260+N(G260),IF(Q260&lt;=0,0,R260*(1-MIN(1,N(D260)/Q260)))))</f>
        <v/>
      </c>
      <c r="U260" t="str">
        <f>IF(B260&lt;&gt;"Vendita","",J260-N(G260)-IF(Q260&lt;=0,0,R260*MIN(1,N(D260)/Q260)))</f>
        <v/>
      </c>
      <c r="V260" t="str">
        <f>IF(B260&lt;&gt;"Dividendo","",IF(Calcoli!$B$251=1,J260,L260))</f>
        <v/>
      </c>
      <c r="W260" t="str">
        <f>IF(AND(V260&lt;&gt;"",ISNUMBER(A260)),A260,"")</f>
        <v/>
      </c>
    </row>
    <row r="261">
      <c r="A261" s="134" t="n"/>
      <c r="B261" s="116" t="n"/>
      <c r="C261" s="116" t="n"/>
      <c r="D261" s="121" t="n"/>
      <c r="E261" s="120" t="n"/>
      <c r="F261" s="120" t="n"/>
      <c r="G261" s="120" t="n"/>
      <c r="H261" s="120" t="n"/>
      <c r="I261" s="117" t="n"/>
      <c r="J261" s="123" t="str">
        <f>IF(B261="","",IF(F261&lt;&gt;"",N(F261),ROUND(N(D261)*N(E261),2)))</f>
        <v/>
      </c>
      <c r="K261" s="123" t="str">
        <f>IF(B261="","",IF(H261&lt;&gt;"",N(H261),IF(B261="Dividendo",ROUND(J261*IFERROR(INDEX(Calcoli!$V$7:$V$21,MATCH(C261,Calcoli!$A$7:$A$21,0)),0.26),2),IF(B261="Vendita",ROUND(MAX(0,U261)*IFERROR(INDEX(Calcoli!$V$7:$V$21,MATCH(C261,Calcoli!$A$7:$A$21,0)),0.26),2),0))))</f>
        <v/>
      </c>
      <c r="L261" s="135" t="str">
        <f>IF(B261="","",IF(B261="Acquisto",-(J261+N(G261)),J261-N(G261)-K261))</f>
        <v/>
      </c>
      <c r="M261" s="127" t="str">
        <f>IF(B261="","",IF(ISNA(MATCH(C261,ETF!$A$7:$A$21,0)),"ETF?",IF(NOT(ISNUMBER(A261)),"Data?",IF(AND(B261&lt;&gt;"Dividendo",N(D261)&lt;=0),"Quote?",IF(AND(B261="Vendita",N(D261)&gt;N(Q261)+0.000001),"Quote?",IF(J261&lt;=0,"Importo?","✓"))))))</f>
        <v/>
      </c>
      <c r="N261" t="str">
        <f>IF(OR(B261="Acquisto",B261="Vendita"),COUNTIFS($C$5:C261,C261,$B$5:B261,"Acquisto")+COUNTIFS($C$5:C261,C261,$B$5:B261,"Vendita"),"")</f>
        <v/>
      </c>
      <c r="O261" t="str">
        <f>IF(N261="","",C261&amp;"|"&amp;N261)</f>
        <v/>
      </c>
      <c r="P261" t="str">
        <f>IF(N261="","",IF(N261=1,0,MATCH(C261&amp;"|"&amp;(N261-1),$O$5:$O$1004,0)))</f>
        <v/>
      </c>
      <c r="Q261" t="str">
        <f>IF(N261="","",IF(P261=0,SUMIFS(Calcoli!$C$7:$C$21,Calcoli!$A$7:$A$21,C261),INDEX($S$5:$S$1004,P261)))</f>
        <v/>
      </c>
      <c r="R261" t="str">
        <f>IF(N261="","",IF(P261=0,SUMIFS(Calcoli!$D$7:$D$21,Calcoli!$A$7:$A$21,C261),INDEX($T$5:$T$1004,P261)))</f>
        <v/>
      </c>
      <c r="S261" t="str">
        <f>IF(N261="","",IF(B261="Acquisto",Q261+N(D261),MAX(0,Q261-N(D261))))</f>
        <v/>
      </c>
      <c r="T261" t="str">
        <f>IF(N261="","",IF(B261="Acquisto",R261+J261+N(G261),IF(Q261&lt;=0,0,R261*(1-MIN(1,N(D261)/Q261)))))</f>
        <v/>
      </c>
      <c r="U261" t="str">
        <f>IF(B261&lt;&gt;"Vendita","",J261-N(G261)-IF(Q261&lt;=0,0,R261*MIN(1,N(D261)/Q261)))</f>
        <v/>
      </c>
      <c r="V261" t="str">
        <f>IF(B261&lt;&gt;"Dividendo","",IF(Calcoli!$B$251=1,J261,L261))</f>
        <v/>
      </c>
      <c r="W261" t="str">
        <f>IF(AND(V261&lt;&gt;"",ISNUMBER(A261)),A261,"")</f>
        <v/>
      </c>
    </row>
    <row r="262">
      <c r="A262" s="134" t="n"/>
      <c r="B262" s="116" t="n"/>
      <c r="C262" s="116" t="n"/>
      <c r="D262" s="121" t="n"/>
      <c r="E262" s="120" t="n"/>
      <c r="F262" s="120" t="n"/>
      <c r="G262" s="120" t="n"/>
      <c r="H262" s="120" t="n"/>
      <c r="I262" s="117" t="n"/>
      <c r="J262" s="123" t="str">
        <f>IF(B262="","",IF(F262&lt;&gt;"",N(F262),ROUND(N(D262)*N(E262),2)))</f>
        <v/>
      </c>
      <c r="K262" s="123" t="str">
        <f>IF(B262="","",IF(H262&lt;&gt;"",N(H262),IF(B262="Dividendo",ROUND(J262*IFERROR(INDEX(Calcoli!$V$7:$V$21,MATCH(C262,Calcoli!$A$7:$A$21,0)),0.26),2),IF(B262="Vendita",ROUND(MAX(0,U262)*IFERROR(INDEX(Calcoli!$V$7:$V$21,MATCH(C262,Calcoli!$A$7:$A$21,0)),0.26),2),0))))</f>
        <v/>
      </c>
      <c r="L262" s="135" t="str">
        <f>IF(B262="","",IF(B262="Acquisto",-(J262+N(G262)),J262-N(G262)-K262))</f>
        <v/>
      </c>
      <c r="M262" s="127" t="str">
        <f>IF(B262="","",IF(ISNA(MATCH(C262,ETF!$A$7:$A$21,0)),"ETF?",IF(NOT(ISNUMBER(A262)),"Data?",IF(AND(B262&lt;&gt;"Dividendo",N(D262)&lt;=0),"Quote?",IF(AND(B262="Vendita",N(D262)&gt;N(Q262)+0.000001),"Quote?",IF(J262&lt;=0,"Importo?","✓"))))))</f>
        <v/>
      </c>
      <c r="N262" t="str">
        <f>IF(OR(B262="Acquisto",B262="Vendita"),COUNTIFS($C$5:C262,C262,$B$5:B262,"Acquisto")+COUNTIFS($C$5:C262,C262,$B$5:B262,"Vendita"),"")</f>
        <v/>
      </c>
      <c r="O262" t="str">
        <f>IF(N262="","",C262&amp;"|"&amp;N262)</f>
        <v/>
      </c>
      <c r="P262" t="str">
        <f>IF(N262="","",IF(N262=1,0,MATCH(C262&amp;"|"&amp;(N262-1),$O$5:$O$1004,0)))</f>
        <v/>
      </c>
      <c r="Q262" t="str">
        <f>IF(N262="","",IF(P262=0,SUMIFS(Calcoli!$C$7:$C$21,Calcoli!$A$7:$A$21,C262),INDEX($S$5:$S$1004,P262)))</f>
        <v/>
      </c>
      <c r="R262" t="str">
        <f>IF(N262="","",IF(P262=0,SUMIFS(Calcoli!$D$7:$D$21,Calcoli!$A$7:$A$21,C262),INDEX($T$5:$T$1004,P262)))</f>
        <v/>
      </c>
      <c r="S262" t="str">
        <f>IF(N262="","",IF(B262="Acquisto",Q262+N(D262),MAX(0,Q262-N(D262))))</f>
        <v/>
      </c>
      <c r="T262" t="str">
        <f>IF(N262="","",IF(B262="Acquisto",R262+J262+N(G262),IF(Q262&lt;=0,0,R262*(1-MIN(1,N(D262)/Q262)))))</f>
        <v/>
      </c>
      <c r="U262" t="str">
        <f>IF(B262&lt;&gt;"Vendita","",J262-N(G262)-IF(Q262&lt;=0,0,R262*MIN(1,N(D262)/Q262)))</f>
        <v/>
      </c>
      <c r="V262" t="str">
        <f>IF(B262&lt;&gt;"Dividendo","",IF(Calcoli!$B$251=1,J262,L262))</f>
        <v/>
      </c>
      <c r="W262" t="str">
        <f>IF(AND(V262&lt;&gt;"",ISNUMBER(A262)),A262,"")</f>
        <v/>
      </c>
    </row>
    <row r="263">
      <c r="A263" s="134" t="n"/>
      <c r="B263" s="116" t="n"/>
      <c r="C263" s="116" t="n"/>
      <c r="D263" s="121" t="n"/>
      <c r="E263" s="120" t="n"/>
      <c r="F263" s="120" t="n"/>
      <c r="G263" s="120" t="n"/>
      <c r="H263" s="120" t="n"/>
      <c r="I263" s="117" t="n"/>
      <c r="J263" s="123" t="str">
        <f>IF(B263="","",IF(F263&lt;&gt;"",N(F263),ROUND(N(D263)*N(E263),2)))</f>
        <v/>
      </c>
      <c r="K263" s="123" t="str">
        <f>IF(B263="","",IF(H263&lt;&gt;"",N(H263),IF(B263="Dividendo",ROUND(J263*IFERROR(INDEX(Calcoli!$V$7:$V$21,MATCH(C263,Calcoli!$A$7:$A$21,0)),0.26),2),IF(B263="Vendita",ROUND(MAX(0,U263)*IFERROR(INDEX(Calcoli!$V$7:$V$21,MATCH(C263,Calcoli!$A$7:$A$21,0)),0.26),2),0))))</f>
        <v/>
      </c>
      <c r="L263" s="135" t="str">
        <f>IF(B263="","",IF(B263="Acquisto",-(J263+N(G263)),J263-N(G263)-K263))</f>
        <v/>
      </c>
      <c r="M263" s="127" t="str">
        <f>IF(B263="","",IF(ISNA(MATCH(C263,ETF!$A$7:$A$21,0)),"ETF?",IF(NOT(ISNUMBER(A263)),"Data?",IF(AND(B263&lt;&gt;"Dividendo",N(D263)&lt;=0),"Quote?",IF(AND(B263="Vendita",N(D263)&gt;N(Q263)+0.000001),"Quote?",IF(J263&lt;=0,"Importo?","✓"))))))</f>
        <v/>
      </c>
      <c r="N263" t="str">
        <f>IF(OR(B263="Acquisto",B263="Vendita"),COUNTIFS($C$5:C263,C263,$B$5:B263,"Acquisto")+COUNTIFS($C$5:C263,C263,$B$5:B263,"Vendita"),"")</f>
        <v/>
      </c>
      <c r="O263" t="str">
        <f>IF(N263="","",C263&amp;"|"&amp;N263)</f>
        <v/>
      </c>
      <c r="P263" t="str">
        <f>IF(N263="","",IF(N263=1,0,MATCH(C263&amp;"|"&amp;(N263-1),$O$5:$O$1004,0)))</f>
        <v/>
      </c>
      <c r="Q263" t="str">
        <f>IF(N263="","",IF(P263=0,SUMIFS(Calcoli!$C$7:$C$21,Calcoli!$A$7:$A$21,C263),INDEX($S$5:$S$1004,P263)))</f>
        <v/>
      </c>
      <c r="R263" t="str">
        <f>IF(N263="","",IF(P263=0,SUMIFS(Calcoli!$D$7:$D$21,Calcoli!$A$7:$A$21,C263),INDEX($T$5:$T$1004,P263)))</f>
        <v/>
      </c>
      <c r="S263" t="str">
        <f>IF(N263="","",IF(B263="Acquisto",Q263+N(D263),MAX(0,Q263-N(D263))))</f>
        <v/>
      </c>
      <c r="T263" t="str">
        <f>IF(N263="","",IF(B263="Acquisto",R263+J263+N(G263),IF(Q263&lt;=0,0,R263*(1-MIN(1,N(D263)/Q263)))))</f>
        <v/>
      </c>
      <c r="U263" t="str">
        <f>IF(B263&lt;&gt;"Vendita","",J263-N(G263)-IF(Q263&lt;=0,0,R263*MIN(1,N(D263)/Q263)))</f>
        <v/>
      </c>
      <c r="V263" t="str">
        <f>IF(B263&lt;&gt;"Dividendo","",IF(Calcoli!$B$251=1,J263,L263))</f>
        <v/>
      </c>
      <c r="W263" t="str">
        <f>IF(AND(V263&lt;&gt;"",ISNUMBER(A263)),A263,"")</f>
        <v/>
      </c>
    </row>
    <row r="264">
      <c r="A264" s="134" t="n"/>
      <c r="B264" s="116" t="n"/>
      <c r="C264" s="116" t="n"/>
      <c r="D264" s="121" t="n"/>
      <c r="E264" s="120" t="n"/>
      <c r="F264" s="120" t="n"/>
      <c r="G264" s="120" t="n"/>
      <c r="H264" s="120" t="n"/>
      <c r="I264" s="117" t="n"/>
      <c r="J264" s="123" t="str">
        <f>IF(B264="","",IF(F264&lt;&gt;"",N(F264),ROUND(N(D264)*N(E264),2)))</f>
        <v/>
      </c>
      <c r="K264" s="123" t="str">
        <f>IF(B264="","",IF(H264&lt;&gt;"",N(H264),IF(B264="Dividendo",ROUND(J264*IFERROR(INDEX(Calcoli!$V$7:$V$21,MATCH(C264,Calcoli!$A$7:$A$21,0)),0.26),2),IF(B264="Vendita",ROUND(MAX(0,U264)*IFERROR(INDEX(Calcoli!$V$7:$V$21,MATCH(C264,Calcoli!$A$7:$A$21,0)),0.26),2),0))))</f>
        <v/>
      </c>
      <c r="L264" s="135" t="str">
        <f>IF(B264="","",IF(B264="Acquisto",-(J264+N(G264)),J264-N(G264)-K264))</f>
        <v/>
      </c>
      <c r="M264" s="127" t="str">
        <f>IF(B264="","",IF(ISNA(MATCH(C264,ETF!$A$7:$A$21,0)),"ETF?",IF(NOT(ISNUMBER(A264)),"Data?",IF(AND(B264&lt;&gt;"Dividendo",N(D264)&lt;=0),"Quote?",IF(AND(B264="Vendita",N(D264)&gt;N(Q264)+0.000001),"Quote?",IF(J264&lt;=0,"Importo?","✓"))))))</f>
        <v/>
      </c>
      <c r="N264" t="str">
        <f>IF(OR(B264="Acquisto",B264="Vendita"),COUNTIFS($C$5:C264,C264,$B$5:B264,"Acquisto")+COUNTIFS($C$5:C264,C264,$B$5:B264,"Vendita"),"")</f>
        <v/>
      </c>
      <c r="O264" t="str">
        <f>IF(N264="","",C264&amp;"|"&amp;N264)</f>
        <v/>
      </c>
      <c r="P264" t="str">
        <f>IF(N264="","",IF(N264=1,0,MATCH(C264&amp;"|"&amp;(N264-1),$O$5:$O$1004,0)))</f>
        <v/>
      </c>
      <c r="Q264" t="str">
        <f>IF(N264="","",IF(P264=0,SUMIFS(Calcoli!$C$7:$C$21,Calcoli!$A$7:$A$21,C264),INDEX($S$5:$S$1004,P264)))</f>
        <v/>
      </c>
      <c r="R264" t="str">
        <f>IF(N264="","",IF(P264=0,SUMIFS(Calcoli!$D$7:$D$21,Calcoli!$A$7:$A$21,C264),INDEX($T$5:$T$1004,P264)))</f>
        <v/>
      </c>
      <c r="S264" t="str">
        <f>IF(N264="","",IF(B264="Acquisto",Q264+N(D264),MAX(0,Q264-N(D264))))</f>
        <v/>
      </c>
      <c r="T264" t="str">
        <f>IF(N264="","",IF(B264="Acquisto",R264+J264+N(G264),IF(Q264&lt;=0,0,R264*(1-MIN(1,N(D264)/Q264)))))</f>
        <v/>
      </c>
      <c r="U264" t="str">
        <f>IF(B264&lt;&gt;"Vendita","",J264-N(G264)-IF(Q264&lt;=0,0,R264*MIN(1,N(D264)/Q264)))</f>
        <v/>
      </c>
      <c r="V264" t="str">
        <f>IF(B264&lt;&gt;"Dividendo","",IF(Calcoli!$B$251=1,J264,L264))</f>
        <v/>
      </c>
      <c r="W264" t="str">
        <f>IF(AND(V264&lt;&gt;"",ISNUMBER(A264)),A264,"")</f>
        <v/>
      </c>
    </row>
    <row r="265">
      <c r="A265" s="134" t="n"/>
      <c r="B265" s="116" t="n"/>
      <c r="C265" s="116" t="n"/>
      <c r="D265" s="121" t="n"/>
      <c r="E265" s="120" t="n"/>
      <c r="F265" s="120" t="n"/>
      <c r="G265" s="120" t="n"/>
      <c r="H265" s="120" t="n"/>
      <c r="I265" s="117" t="n"/>
      <c r="J265" s="123" t="str">
        <f>IF(B265="","",IF(F265&lt;&gt;"",N(F265),ROUND(N(D265)*N(E265),2)))</f>
        <v/>
      </c>
      <c r="K265" s="123" t="str">
        <f>IF(B265="","",IF(H265&lt;&gt;"",N(H265),IF(B265="Dividendo",ROUND(J265*IFERROR(INDEX(Calcoli!$V$7:$V$21,MATCH(C265,Calcoli!$A$7:$A$21,0)),0.26),2),IF(B265="Vendita",ROUND(MAX(0,U265)*IFERROR(INDEX(Calcoli!$V$7:$V$21,MATCH(C265,Calcoli!$A$7:$A$21,0)),0.26),2),0))))</f>
        <v/>
      </c>
      <c r="L265" s="135" t="str">
        <f>IF(B265="","",IF(B265="Acquisto",-(J265+N(G265)),J265-N(G265)-K265))</f>
        <v/>
      </c>
      <c r="M265" s="127" t="str">
        <f>IF(B265="","",IF(ISNA(MATCH(C265,ETF!$A$7:$A$21,0)),"ETF?",IF(NOT(ISNUMBER(A265)),"Data?",IF(AND(B265&lt;&gt;"Dividendo",N(D265)&lt;=0),"Quote?",IF(AND(B265="Vendita",N(D265)&gt;N(Q265)+0.000001),"Quote?",IF(J265&lt;=0,"Importo?","✓"))))))</f>
        <v/>
      </c>
      <c r="N265" t="str">
        <f>IF(OR(B265="Acquisto",B265="Vendita"),COUNTIFS($C$5:C265,C265,$B$5:B265,"Acquisto")+COUNTIFS($C$5:C265,C265,$B$5:B265,"Vendita"),"")</f>
        <v/>
      </c>
      <c r="O265" t="str">
        <f>IF(N265="","",C265&amp;"|"&amp;N265)</f>
        <v/>
      </c>
      <c r="P265" t="str">
        <f>IF(N265="","",IF(N265=1,0,MATCH(C265&amp;"|"&amp;(N265-1),$O$5:$O$1004,0)))</f>
        <v/>
      </c>
      <c r="Q265" t="str">
        <f>IF(N265="","",IF(P265=0,SUMIFS(Calcoli!$C$7:$C$21,Calcoli!$A$7:$A$21,C265),INDEX($S$5:$S$1004,P265)))</f>
        <v/>
      </c>
      <c r="R265" t="str">
        <f>IF(N265="","",IF(P265=0,SUMIFS(Calcoli!$D$7:$D$21,Calcoli!$A$7:$A$21,C265),INDEX($T$5:$T$1004,P265)))</f>
        <v/>
      </c>
      <c r="S265" t="str">
        <f>IF(N265="","",IF(B265="Acquisto",Q265+N(D265),MAX(0,Q265-N(D265))))</f>
        <v/>
      </c>
      <c r="T265" t="str">
        <f>IF(N265="","",IF(B265="Acquisto",R265+J265+N(G265),IF(Q265&lt;=0,0,R265*(1-MIN(1,N(D265)/Q265)))))</f>
        <v/>
      </c>
      <c r="U265" t="str">
        <f>IF(B265&lt;&gt;"Vendita","",J265-N(G265)-IF(Q265&lt;=0,0,R265*MIN(1,N(D265)/Q265)))</f>
        <v/>
      </c>
      <c r="V265" t="str">
        <f>IF(B265&lt;&gt;"Dividendo","",IF(Calcoli!$B$251=1,J265,L265))</f>
        <v/>
      </c>
      <c r="W265" t="str">
        <f>IF(AND(V265&lt;&gt;"",ISNUMBER(A265)),A265,"")</f>
        <v/>
      </c>
    </row>
    <row r="266">
      <c r="A266" s="134" t="n"/>
      <c r="B266" s="116" t="n"/>
      <c r="C266" s="116" t="n"/>
      <c r="D266" s="121" t="n"/>
      <c r="E266" s="120" t="n"/>
      <c r="F266" s="120" t="n"/>
      <c r="G266" s="120" t="n"/>
      <c r="H266" s="120" t="n"/>
      <c r="I266" s="117" t="n"/>
      <c r="J266" s="123" t="str">
        <f>IF(B266="","",IF(F266&lt;&gt;"",N(F266),ROUND(N(D266)*N(E266),2)))</f>
        <v/>
      </c>
      <c r="K266" s="123" t="str">
        <f>IF(B266="","",IF(H266&lt;&gt;"",N(H266),IF(B266="Dividendo",ROUND(J266*IFERROR(INDEX(Calcoli!$V$7:$V$21,MATCH(C266,Calcoli!$A$7:$A$21,0)),0.26),2),IF(B266="Vendita",ROUND(MAX(0,U266)*IFERROR(INDEX(Calcoli!$V$7:$V$21,MATCH(C266,Calcoli!$A$7:$A$21,0)),0.26),2),0))))</f>
        <v/>
      </c>
      <c r="L266" s="135" t="str">
        <f>IF(B266="","",IF(B266="Acquisto",-(J266+N(G266)),J266-N(G266)-K266))</f>
        <v/>
      </c>
      <c r="M266" s="127" t="str">
        <f>IF(B266="","",IF(ISNA(MATCH(C266,ETF!$A$7:$A$21,0)),"ETF?",IF(NOT(ISNUMBER(A266)),"Data?",IF(AND(B266&lt;&gt;"Dividendo",N(D266)&lt;=0),"Quote?",IF(AND(B266="Vendita",N(D266)&gt;N(Q266)+0.000001),"Quote?",IF(J266&lt;=0,"Importo?","✓"))))))</f>
        <v/>
      </c>
      <c r="N266" t="str">
        <f>IF(OR(B266="Acquisto",B266="Vendita"),COUNTIFS($C$5:C266,C266,$B$5:B266,"Acquisto")+COUNTIFS($C$5:C266,C266,$B$5:B266,"Vendita"),"")</f>
        <v/>
      </c>
      <c r="O266" t="str">
        <f>IF(N266="","",C266&amp;"|"&amp;N266)</f>
        <v/>
      </c>
      <c r="P266" t="str">
        <f>IF(N266="","",IF(N266=1,0,MATCH(C266&amp;"|"&amp;(N266-1),$O$5:$O$1004,0)))</f>
        <v/>
      </c>
      <c r="Q266" t="str">
        <f>IF(N266="","",IF(P266=0,SUMIFS(Calcoli!$C$7:$C$21,Calcoli!$A$7:$A$21,C266),INDEX($S$5:$S$1004,P266)))</f>
        <v/>
      </c>
      <c r="R266" t="str">
        <f>IF(N266="","",IF(P266=0,SUMIFS(Calcoli!$D$7:$D$21,Calcoli!$A$7:$A$21,C266),INDEX($T$5:$T$1004,P266)))</f>
        <v/>
      </c>
      <c r="S266" t="str">
        <f>IF(N266="","",IF(B266="Acquisto",Q266+N(D266),MAX(0,Q266-N(D266))))</f>
        <v/>
      </c>
      <c r="T266" t="str">
        <f>IF(N266="","",IF(B266="Acquisto",R266+J266+N(G266),IF(Q266&lt;=0,0,R266*(1-MIN(1,N(D266)/Q266)))))</f>
        <v/>
      </c>
      <c r="U266" t="str">
        <f>IF(B266&lt;&gt;"Vendita","",J266-N(G266)-IF(Q266&lt;=0,0,R266*MIN(1,N(D266)/Q266)))</f>
        <v/>
      </c>
      <c r="V266" t="str">
        <f>IF(B266&lt;&gt;"Dividendo","",IF(Calcoli!$B$251=1,J266,L266))</f>
        <v/>
      </c>
      <c r="W266" t="str">
        <f>IF(AND(V266&lt;&gt;"",ISNUMBER(A266)),A266,"")</f>
        <v/>
      </c>
    </row>
    <row r="267">
      <c r="A267" s="134" t="n"/>
      <c r="B267" s="116" t="n"/>
      <c r="C267" s="116" t="n"/>
      <c r="D267" s="121" t="n"/>
      <c r="E267" s="120" t="n"/>
      <c r="F267" s="120" t="n"/>
      <c r="G267" s="120" t="n"/>
      <c r="H267" s="120" t="n"/>
      <c r="I267" s="117" t="n"/>
      <c r="J267" s="123" t="str">
        <f>IF(B267="","",IF(F267&lt;&gt;"",N(F267),ROUND(N(D267)*N(E267),2)))</f>
        <v/>
      </c>
      <c r="K267" s="123" t="str">
        <f>IF(B267="","",IF(H267&lt;&gt;"",N(H267),IF(B267="Dividendo",ROUND(J267*IFERROR(INDEX(Calcoli!$V$7:$V$21,MATCH(C267,Calcoli!$A$7:$A$21,0)),0.26),2),IF(B267="Vendita",ROUND(MAX(0,U267)*IFERROR(INDEX(Calcoli!$V$7:$V$21,MATCH(C267,Calcoli!$A$7:$A$21,0)),0.26),2),0))))</f>
        <v/>
      </c>
      <c r="L267" s="135" t="str">
        <f>IF(B267="","",IF(B267="Acquisto",-(J267+N(G267)),J267-N(G267)-K267))</f>
        <v/>
      </c>
      <c r="M267" s="127" t="str">
        <f>IF(B267="","",IF(ISNA(MATCH(C267,ETF!$A$7:$A$21,0)),"ETF?",IF(NOT(ISNUMBER(A267)),"Data?",IF(AND(B267&lt;&gt;"Dividendo",N(D267)&lt;=0),"Quote?",IF(AND(B267="Vendita",N(D267)&gt;N(Q267)+0.000001),"Quote?",IF(J267&lt;=0,"Importo?","✓"))))))</f>
        <v/>
      </c>
      <c r="N267" t="str">
        <f>IF(OR(B267="Acquisto",B267="Vendita"),COUNTIFS($C$5:C267,C267,$B$5:B267,"Acquisto")+COUNTIFS($C$5:C267,C267,$B$5:B267,"Vendita"),"")</f>
        <v/>
      </c>
      <c r="O267" t="str">
        <f>IF(N267="","",C267&amp;"|"&amp;N267)</f>
        <v/>
      </c>
      <c r="P267" t="str">
        <f>IF(N267="","",IF(N267=1,0,MATCH(C267&amp;"|"&amp;(N267-1),$O$5:$O$1004,0)))</f>
        <v/>
      </c>
      <c r="Q267" t="str">
        <f>IF(N267="","",IF(P267=0,SUMIFS(Calcoli!$C$7:$C$21,Calcoli!$A$7:$A$21,C267),INDEX($S$5:$S$1004,P267)))</f>
        <v/>
      </c>
      <c r="R267" t="str">
        <f>IF(N267="","",IF(P267=0,SUMIFS(Calcoli!$D$7:$D$21,Calcoli!$A$7:$A$21,C267),INDEX($T$5:$T$1004,P267)))</f>
        <v/>
      </c>
      <c r="S267" t="str">
        <f>IF(N267="","",IF(B267="Acquisto",Q267+N(D267),MAX(0,Q267-N(D267))))</f>
        <v/>
      </c>
      <c r="T267" t="str">
        <f>IF(N267="","",IF(B267="Acquisto",R267+J267+N(G267),IF(Q267&lt;=0,0,R267*(1-MIN(1,N(D267)/Q267)))))</f>
        <v/>
      </c>
      <c r="U267" t="str">
        <f>IF(B267&lt;&gt;"Vendita","",J267-N(G267)-IF(Q267&lt;=0,0,R267*MIN(1,N(D267)/Q267)))</f>
        <v/>
      </c>
      <c r="V267" t="str">
        <f>IF(B267&lt;&gt;"Dividendo","",IF(Calcoli!$B$251=1,J267,L267))</f>
        <v/>
      </c>
      <c r="W267" t="str">
        <f>IF(AND(V267&lt;&gt;"",ISNUMBER(A267)),A267,"")</f>
        <v/>
      </c>
    </row>
    <row r="268">
      <c r="A268" s="134" t="n"/>
      <c r="B268" s="116" t="n"/>
      <c r="C268" s="116" t="n"/>
      <c r="D268" s="121" t="n"/>
      <c r="E268" s="120" t="n"/>
      <c r="F268" s="120" t="n"/>
      <c r="G268" s="120" t="n"/>
      <c r="H268" s="120" t="n"/>
      <c r="I268" s="117" t="n"/>
      <c r="J268" s="123" t="str">
        <f>IF(B268="","",IF(F268&lt;&gt;"",N(F268),ROUND(N(D268)*N(E268),2)))</f>
        <v/>
      </c>
      <c r="K268" s="123" t="str">
        <f>IF(B268="","",IF(H268&lt;&gt;"",N(H268),IF(B268="Dividendo",ROUND(J268*IFERROR(INDEX(Calcoli!$V$7:$V$21,MATCH(C268,Calcoli!$A$7:$A$21,0)),0.26),2),IF(B268="Vendita",ROUND(MAX(0,U268)*IFERROR(INDEX(Calcoli!$V$7:$V$21,MATCH(C268,Calcoli!$A$7:$A$21,0)),0.26),2),0))))</f>
        <v/>
      </c>
      <c r="L268" s="135" t="str">
        <f>IF(B268="","",IF(B268="Acquisto",-(J268+N(G268)),J268-N(G268)-K268))</f>
        <v/>
      </c>
      <c r="M268" s="127" t="str">
        <f>IF(B268="","",IF(ISNA(MATCH(C268,ETF!$A$7:$A$21,0)),"ETF?",IF(NOT(ISNUMBER(A268)),"Data?",IF(AND(B268&lt;&gt;"Dividendo",N(D268)&lt;=0),"Quote?",IF(AND(B268="Vendita",N(D268)&gt;N(Q268)+0.000001),"Quote?",IF(J268&lt;=0,"Importo?","✓"))))))</f>
        <v/>
      </c>
      <c r="N268" t="str">
        <f>IF(OR(B268="Acquisto",B268="Vendita"),COUNTIFS($C$5:C268,C268,$B$5:B268,"Acquisto")+COUNTIFS($C$5:C268,C268,$B$5:B268,"Vendita"),"")</f>
        <v/>
      </c>
      <c r="O268" t="str">
        <f>IF(N268="","",C268&amp;"|"&amp;N268)</f>
        <v/>
      </c>
      <c r="P268" t="str">
        <f>IF(N268="","",IF(N268=1,0,MATCH(C268&amp;"|"&amp;(N268-1),$O$5:$O$1004,0)))</f>
        <v/>
      </c>
      <c r="Q268" t="str">
        <f>IF(N268="","",IF(P268=0,SUMIFS(Calcoli!$C$7:$C$21,Calcoli!$A$7:$A$21,C268),INDEX($S$5:$S$1004,P268)))</f>
        <v/>
      </c>
      <c r="R268" t="str">
        <f>IF(N268="","",IF(P268=0,SUMIFS(Calcoli!$D$7:$D$21,Calcoli!$A$7:$A$21,C268),INDEX($T$5:$T$1004,P268)))</f>
        <v/>
      </c>
      <c r="S268" t="str">
        <f>IF(N268="","",IF(B268="Acquisto",Q268+N(D268),MAX(0,Q268-N(D268))))</f>
        <v/>
      </c>
      <c r="T268" t="str">
        <f>IF(N268="","",IF(B268="Acquisto",R268+J268+N(G268),IF(Q268&lt;=0,0,R268*(1-MIN(1,N(D268)/Q268)))))</f>
        <v/>
      </c>
      <c r="U268" t="str">
        <f>IF(B268&lt;&gt;"Vendita","",J268-N(G268)-IF(Q268&lt;=0,0,R268*MIN(1,N(D268)/Q268)))</f>
        <v/>
      </c>
      <c r="V268" t="str">
        <f>IF(B268&lt;&gt;"Dividendo","",IF(Calcoli!$B$251=1,J268,L268))</f>
        <v/>
      </c>
      <c r="W268" t="str">
        <f>IF(AND(V268&lt;&gt;"",ISNUMBER(A268)),A268,"")</f>
        <v/>
      </c>
    </row>
    <row r="269">
      <c r="A269" s="134" t="n"/>
      <c r="B269" s="116" t="n"/>
      <c r="C269" s="116" t="n"/>
      <c r="D269" s="121" t="n"/>
      <c r="E269" s="120" t="n"/>
      <c r="F269" s="120" t="n"/>
      <c r="G269" s="120" t="n"/>
      <c r="H269" s="120" t="n"/>
      <c r="I269" s="117" t="n"/>
      <c r="J269" s="123" t="str">
        <f>IF(B269="","",IF(F269&lt;&gt;"",N(F269),ROUND(N(D269)*N(E269),2)))</f>
        <v/>
      </c>
      <c r="K269" s="123" t="str">
        <f>IF(B269="","",IF(H269&lt;&gt;"",N(H269),IF(B269="Dividendo",ROUND(J269*IFERROR(INDEX(Calcoli!$V$7:$V$21,MATCH(C269,Calcoli!$A$7:$A$21,0)),0.26),2),IF(B269="Vendita",ROUND(MAX(0,U269)*IFERROR(INDEX(Calcoli!$V$7:$V$21,MATCH(C269,Calcoli!$A$7:$A$21,0)),0.26),2),0))))</f>
        <v/>
      </c>
      <c r="L269" s="135" t="str">
        <f>IF(B269="","",IF(B269="Acquisto",-(J269+N(G269)),J269-N(G269)-K269))</f>
        <v/>
      </c>
      <c r="M269" s="127" t="str">
        <f>IF(B269="","",IF(ISNA(MATCH(C269,ETF!$A$7:$A$21,0)),"ETF?",IF(NOT(ISNUMBER(A269)),"Data?",IF(AND(B269&lt;&gt;"Dividendo",N(D269)&lt;=0),"Quote?",IF(AND(B269="Vendita",N(D269)&gt;N(Q269)+0.000001),"Quote?",IF(J269&lt;=0,"Importo?","✓"))))))</f>
        <v/>
      </c>
      <c r="N269" t="str">
        <f>IF(OR(B269="Acquisto",B269="Vendita"),COUNTIFS($C$5:C269,C269,$B$5:B269,"Acquisto")+COUNTIFS($C$5:C269,C269,$B$5:B269,"Vendita"),"")</f>
        <v/>
      </c>
      <c r="O269" t="str">
        <f>IF(N269="","",C269&amp;"|"&amp;N269)</f>
        <v/>
      </c>
      <c r="P269" t="str">
        <f>IF(N269="","",IF(N269=1,0,MATCH(C269&amp;"|"&amp;(N269-1),$O$5:$O$1004,0)))</f>
        <v/>
      </c>
      <c r="Q269" t="str">
        <f>IF(N269="","",IF(P269=0,SUMIFS(Calcoli!$C$7:$C$21,Calcoli!$A$7:$A$21,C269),INDEX($S$5:$S$1004,P269)))</f>
        <v/>
      </c>
      <c r="R269" t="str">
        <f>IF(N269="","",IF(P269=0,SUMIFS(Calcoli!$D$7:$D$21,Calcoli!$A$7:$A$21,C269),INDEX($T$5:$T$1004,P269)))</f>
        <v/>
      </c>
      <c r="S269" t="str">
        <f>IF(N269="","",IF(B269="Acquisto",Q269+N(D269),MAX(0,Q269-N(D269))))</f>
        <v/>
      </c>
      <c r="T269" t="str">
        <f>IF(N269="","",IF(B269="Acquisto",R269+J269+N(G269),IF(Q269&lt;=0,0,R269*(1-MIN(1,N(D269)/Q269)))))</f>
        <v/>
      </c>
      <c r="U269" t="str">
        <f>IF(B269&lt;&gt;"Vendita","",J269-N(G269)-IF(Q269&lt;=0,0,R269*MIN(1,N(D269)/Q269)))</f>
        <v/>
      </c>
      <c r="V269" t="str">
        <f>IF(B269&lt;&gt;"Dividendo","",IF(Calcoli!$B$251=1,J269,L269))</f>
        <v/>
      </c>
      <c r="W269" t="str">
        <f>IF(AND(V269&lt;&gt;"",ISNUMBER(A269)),A269,"")</f>
        <v/>
      </c>
    </row>
    <row r="270">
      <c r="A270" s="134" t="n"/>
      <c r="B270" s="116" t="n"/>
      <c r="C270" s="116" t="n"/>
      <c r="D270" s="121" t="n"/>
      <c r="E270" s="120" t="n"/>
      <c r="F270" s="120" t="n"/>
      <c r="G270" s="120" t="n"/>
      <c r="H270" s="120" t="n"/>
      <c r="I270" s="117" t="n"/>
      <c r="J270" s="123" t="str">
        <f>IF(B270="","",IF(F270&lt;&gt;"",N(F270),ROUND(N(D270)*N(E270),2)))</f>
        <v/>
      </c>
      <c r="K270" s="123" t="str">
        <f>IF(B270="","",IF(H270&lt;&gt;"",N(H270),IF(B270="Dividendo",ROUND(J270*IFERROR(INDEX(Calcoli!$V$7:$V$21,MATCH(C270,Calcoli!$A$7:$A$21,0)),0.26),2),IF(B270="Vendita",ROUND(MAX(0,U270)*IFERROR(INDEX(Calcoli!$V$7:$V$21,MATCH(C270,Calcoli!$A$7:$A$21,0)),0.26),2),0))))</f>
        <v/>
      </c>
      <c r="L270" s="135" t="str">
        <f>IF(B270="","",IF(B270="Acquisto",-(J270+N(G270)),J270-N(G270)-K270))</f>
        <v/>
      </c>
      <c r="M270" s="127" t="str">
        <f>IF(B270="","",IF(ISNA(MATCH(C270,ETF!$A$7:$A$21,0)),"ETF?",IF(NOT(ISNUMBER(A270)),"Data?",IF(AND(B270&lt;&gt;"Dividendo",N(D270)&lt;=0),"Quote?",IF(AND(B270="Vendita",N(D270)&gt;N(Q270)+0.000001),"Quote?",IF(J270&lt;=0,"Importo?","✓"))))))</f>
        <v/>
      </c>
      <c r="N270" t="str">
        <f>IF(OR(B270="Acquisto",B270="Vendita"),COUNTIFS($C$5:C270,C270,$B$5:B270,"Acquisto")+COUNTIFS($C$5:C270,C270,$B$5:B270,"Vendita"),"")</f>
        <v/>
      </c>
      <c r="O270" t="str">
        <f>IF(N270="","",C270&amp;"|"&amp;N270)</f>
        <v/>
      </c>
      <c r="P270" t="str">
        <f>IF(N270="","",IF(N270=1,0,MATCH(C270&amp;"|"&amp;(N270-1),$O$5:$O$1004,0)))</f>
        <v/>
      </c>
      <c r="Q270" t="str">
        <f>IF(N270="","",IF(P270=0,SUMIFS(Calcoli!$C$7:$C$21,Calcoli!$A$7:$A$21,C270),INDEX($S$5:$S$1004,P270)))</f>
        <v/>
      </c>
      <c r="R270" t="str">
        <f>IF(N270="","",IF(P270=0,SUMIFS(Calcoli!$D$7:$D$21,Calcoli!$A$7:$A$21,C270),INDEX($T$5:$T$1004,P270)))</f>
        <v/>
      </c>
      <c r="S270" t="str">
        <f>IF(N270="","",IF(B270="Acquisto",Q270+N(D270),MAX(0,Q270-N(D270))))</f>
        <v/>
      </c>
      <c r="T270" t="str">
        <f>IF(N270="","",IF(B270="Acquisto",R270+J270+N(G270),IF(Q270&lt;=0,0,R270*(1-MIN(1,N(D270)/Q270)))))</f>
        <v/>
      </c>
      <c r="U270" t="str">
        <f>IF(B270&lt;&gt;"Vendita","",J270-N(G270)-IF(Q270&lt;=0,0,R270*MIN(1,N(D270)/Q270)))</f>
        <v/>
      </c>
      <c r="V270" t="str">
        <f>IF(B270&lt;&gt;"Dividendo","",IF(Calcoli!$B$251=1,J270,L270))</f>
        <v/>
      </c>
      <c r="W270" t="str">
        <f>IF(AND(V270&lt;&gt;"",ISNUMBER(A270)),A270,"")</f>
        <v/>
      </c>
    </row>
    <row r="271">
      <c r="A271" s="134" t="n"/>
      <c r="B271" s="116" t="n"/>
      <c r="C271" s="116" t="n"/>
      <c r="D271" s="121" t="n"/>
      <c r="E271" s="120" t="n"/>
      <c r="F271" s="120" t="n"/>
      <c r="G271" s="120" t="n"/>
      <c r="H271" s="120" t="n"/>
      <c r="I271" s="117" t="n"/>
      <c r="J271" s="123" t="str">
        <f>IF(B271="","",IF(F271&lt;&gt;"",N(F271),ROUND(N(D271)*N(E271),2)))</f>
        <v/>
      </c>
      <c r="K271" s="123" t="str">
        <f>IF(B271="","",IF(H271&lt;&gt;"",N(H271),IF(B271="Dividendo",ROUND(J271*IFERROR(INDEX(Calcoli!$V$7:$V$21,MATCH(C271,Calcoli!$A$7:$A$21,0)),0.26),2),IF(B271="Vendita",ROUND(MAX(0,U271)*IFERROR(INDEX(Calcoli!$V$7:$V$21,MATCH(C271,Calcoli!$A$7:$A$21,0)),0.26),2),0))))</f>
        <v/>
      </c>
      <c r="L271" s="135" t="str">
        <f>IF(B271="","",IF(B271="Acquisto",-(J271+N(G271)),J271-N(G271)-K271))</f>
        <v/>
      </c>
      <c r="M271" s="127" t="str">
        <f>IF(B271="","",IF(ISNA(MATCH(C271,ETF!$A$7:$A$21,0)),"ETF?",IF(NOT(ISNUMBER(A271)),"Data?",IF(AND(B271&lt;&gt;"Dividendo",N(D271)&lt;=0),"Quote?",IF(AND(B271="Vendita",N(D271)&gt;N(Q271)+0.000001),"Quote?",IF(J271&lt;=0,"Importo?","✓"))))))</f>
        <v/>
      </c>
      <c r="N271" t="str">
        <f>IF(OR(B271="Acquisto",B271="Vendita"),COUNTIFS($C$5:C271,C271,$B$5:B271,"Acquisto")+COUNTIFS($C$5:C271,C271,$B$5:B271,"Vendita"),"")</f>
        <v/>
      </c>
      <c r="O271" t="str">
        <f>IF(N271="","",C271&amp;"|"&amp;N271)</f>
        <v/>
      </c>
      <c r="P271" t="str">
        <f>IF(N271="","",IF(N271=1,0,MATCH(C271&amp;"|"&amp;(N271-1),$O$5:$O$1004,0)))</f>
        <v/>
      </c>
      <c r="Q271" t="str">
        <f>IF(N271="","",IF(P271=0,SUMIFS(Calcoli!$C$7:$C$21,Calcoli!$A$7:$A$21,C271),INDEX($S$5:$S$1004,P271)))</f>
        <v/>
      </c>
      <c r="R271" t="str">
        <f>IF(N271="","",IF(P271=0,SUMIFS(Calcoli!$D$7:$D$21,Calcoli!$A$7:$A$21,C271),INDEX($T$5:$T$1004,P271)))</f>
        <v/>
      </c>
      <c r="S271" t="str">
        <f>IF(N271="","",IF(B271="Acquisto",Q271+N(D271),MAX(0,Q271-N(D271))))</f>
        <v/>
      </c>
      <c r="T271" t="str">
        <f>IF(N271="","",IF(B271="Acquisto",R271+J271+N(G271),IF(Q271&lt;=0,0,R271*(1-MIN(1,N(D271)/Q271)))))</f>
        <v/>
      </c>
      <c r="U271" t="str">
        <f>IF(B271&lt;&gt;"Vendita","",J271-N(G271)-IF(Q271&lt;=0,0,R271*MIN(1,N(D271)/Q271)))</f>
        <v/>
      </c>
      <c r="V271" t="str">
        <f>IF(B271&lt;&gt;"Dividendo","",IF(Calcoli!$B$251=1,J271,L271))</f>
        <v/>
      </c>
      <c r="W271" t="str">
        <f>IF(AND(V271&lt;&gt;"",ISNUMBER(A271)),A271,"")</f>
        <v/>
      </c>
    </row>
    <row r="272">
      <c r="A272" s="134" t="n"/>
      <c r="B272" s="116" t="n"/>
      <c r="C272" s="116" t="n"/>
      <c r="D272" s="121" t="n"/>
      <c r="E272" s="120" t="n"/>
      <c r="F272" s="120" t="n"/>
      <c r="G272" s="120" t="n"/>
      <c r="H272" s="120" t="n"/>
      <c r="I272" s="117" t="n"/>
      <c r="J272" s="123" t="str">
        <f>IF(B272="","",IF(F272&lt;&gt;"",N(F272),ROUND(N(D272)*N(E272),2)))</f>
        <v/>
      </c>
      <c r="K272" s="123" t="str">
        <f>IF(B272="","",IF(H272&lt;&gt;"",N(H272),IF(B272="Dividendo",ROUND(J272*IFERROR(INDEX(Calcoli!$V$7:$V$21,MATCH(C272,Calcoli!$A$7:$A$21,0)),0.26),2),IF(B272="Vendita",ROUND(MAX(0,U272)*IFERROR(INDEX(Calcoli!$V$7:$V$21,MATCH(C272,Calcoli!$A$7:$A$21,0)),0.26),2),0))))</f>
        <v/>
      </c>
      <c r="L272" s="135" t="str">
        <f>IF(B272="","",IF(B272="Acquisto",-(J272+N(G272)),J272-N(G272)-K272))</f>
        <v/>
      </c>
      <c r="M272" s="127" t="str">
        <f>IF(B272="","",IF(ISNA(MATCH(C272,ETF!$A$7:$A$21,0)),"ETF?",IF(NOT(ISNUMBER(A272)),"Data?",IF(AND(B272&lt;&gt;"Dividendo",N(D272)&lt;=0),"Quote?",IF(AND(B272="Vendita",N(D272)&gt;N(Q272)+0.000001),"Quote?",IF(J272&lt;=0,"Importo?","✓"))))))</f>
        <v/>
      </c>
      <c r="N272" t="str">
        <f>IF(OR(B272="Acquisto",B272="Vendita"),COUNTIFS($C$5:C272,C272,$B$5:B272,"Acquisto")+COUNTIFS($C$5:C272,C272,$B$5:B272,"Vendita"),"")</f>
        <v/>
      </c>
      <c r="O272" t="str">
        <f>IF(N272="","",C272&amp;"|"&amp;N272)</f>
        <v/>
      </c>
      <c r="P272" t="str">
        <f>IF(N272="","",IF(N272=1,0,MATCH(C272&amp;"|"&amp;(N272-1),$O$5:$O$1004,0)))</f>
        <v/>
      </c>
      <c r="Q272" t="str">
        <f>IF(N272="","",IF(P272=0,SUMIFS(Calcoli!$C$7:$C$21,Calcoli!$A$7:$A$21,C272),INDEX($S$5:$S$1004,P272)))</f>
        <v/>
      </c>
      <c r="R272" t="str">
        <f>IF(N272="","",IF(P272=0,SUMIFS(Calcoli!$D$7:$D$21,Calcoli!$A$7:$A$21,C272),INDEX($T$5:$T$1004,P272)))</f>
        <v/>
      </c>
      <c r="S272" t="str">
        <f>IF(N272="","",IF(B272="Acquisto",Q272+N(D272),MAX(0,Q272-N(D272))))</f>
        <v/>
      </c>
      <c r="T272" t="str">
        <f>IF(N272="","",IF(B272="Acquisto",R272+J272+N(G272),IF(Q272&lt;=0,0,R272*(1-MIN(1,N(D272)/Q272)))))</f>
        <v/>
      </c>
      <c r="U272" t="str">
        <f>IF(B272&lt;&gt;"Vendita","",J272-N(G272)-IF(Q272&lt;=0,0,R272*MIN(1,N(D272)/Q272)))</f>
        <v/>
      </c>
      <c r="V272" t="str">
        <f>IF(B272&lt;&gt;"Dividendo","",IF(Calcoli!$B$251=1,J272,L272))</f>
        <v/>
      </c>
      <c r="W272" t="str">
        <f>IF(AND(V272&lt;&gt;"",ISNUMBER(A272)),A272,"")</f>
        <v/>
      </c>
    </row>
    <row r="273">
      <c r="A273" s="134" t="n"/>
      <c r="B273" s="116" t="n"/>
      <c r="C273" s="116" t="n"/>
      <c r="D273" s="121" t="n"/>
      <c r="E273" s="120" t="n"/>
      <c r="F273" s="120" t="n"/>
      <c r="G273" s="120" t="n"/>
      <c r="H273" s="120" t="n"/>
      <c r="I273" s="117" t="n"/>
      <c r="J273" s="123" t="str">
        <f>IF(B273="","",IF(F273&lt;&gt;"",N(F273),ROUND(N(D273)*N(E273),2)))</f>
        <v/>
      </c>
      <c r="K273" s="123" t="str">
        <f>IF(B273="","",IF(H273&lt;&gt;"",N(H273),IF(B273="Dividendo",ROUND(J273*IFERROR(INDEX(Calcoli!$V$7:$V$21,MATCH(C273,Calcoli!$A$7:$A$21,0)),0.26),2),IF(B273="Vendita",ROUND(MAX(0,U273)*IFERROR(INDEX(Calcoli!$V$7:$V$21,MATCH(C273,Calcoli!$A$7:$A$21,0)),0.26),2),0))))</f>
        <v/>
      </c>
      <c r="L273" s="135" t="str">
        <f>IF(B273="","",IF(B273="Acquisto",-(J273+N(G273)),J273-N(G273)-K273))</f>
        <v/>
      </c>
      <c r="M273" s="127" t="str">
        <f>IF(B273="","",IF(ISNA(MATCH(C273,ETF!$A$7:$A$21,0)),"ETF?",IF(NOT(ISNUMBER(A273)),"Data?",IF(AND(B273&lt;&gt;"Dividendo",N(D273)&lt;=0),"Quote?",IF(AND(B273="Vendita",N(D273)&gt;N(Q273)+0.000001),"Quote?",IF(J273&lt;=0,"Importo?","✓"))))))</f>
        <v/>
      </c>
      <c r="N273" t="str">
        <f>IF(OR(B273="Acquisto",B273="Vendita"),COUNTIFS($C$5:C273,C273,$B$5:B273,"Acquisto")+COUNTIFS($C$5:C273,C273,$B$5:B273,"Vendita"),"")</f>
        <v/>
      </c>
      <c r="O273" t="str">
        <f>IF(N273="","",C273&amp;"|"&amp;N273)</f>
        <v/>
      </c>
      <c r="P273" t="str">
        <f>IF(N273="","",IF(N273=1,0,MATCH(C273&amp;"|"&amp;(N273-1),$O$5:$O$1004,0)))</f>
        <v/>
      </c>
      <c r="Q273" t="str">
        <f>IF(N273="","",IF(P273=0,SUMIFS(Calcoli!$C$7:$C$21,Calcoli!$A$7:$A$21,C273),INDEX($S$5:$S$1004,P273)))</f>
        <v/>
      </c>
      <c r="R273" t="str">
        <f>IF(N273="","",IF(P273=0,SUMIFS(Calcoli!$D$7:$D$21,Calcoli!$A$7:$A$21,C273),INDEX($T$5:$T$1004,P273)))</f>
        <v/>
      </c>
      <c r="S273" t="str">
        <f>IF(N273="","",IF(B273="Acquisto",Q273+N(D273),MAX(0,Q273-N(D273))))</f>
        <v/>
      </c>
      <c r="T273" t="str">
        <f>IF(N273="","",IF(B273="Acquisto",R273+J273+N(G273),IF(Q273&lt;=0,0,R273*(1-MIN(1,N(D273)/Q273)))))</f>
        <v/>
      </c>
      <c r="U273" t="str">
        <f>IF(B273&lt;&gt;"Vendita","",J273-N(G273)-IF(Q273&lt;=0,0,R273*MIN(1,N(D273)/Q273)))</f>
        <v/>
      </c>
      <c r="V273" t="str">
        <f>IF(B273&lt;&gt;"Dividendo","",IF(Calcoli!$B$251=1,J273,L273))</f>
        <v/>
      </c>
      <c r="W273" t="str">
        <f>IF(AND(V273&lt;&gt;"",ISNUMBER(A273)),A273,"")</f>
        <v/>
      </c>
    </row>
    <row r="274">
      <c r="A274" s="134" t="n"/>
      <c r="B274" s="116" t="n"/>
      <c r="C274" s="116" t="n"/>
      <c r="D274" s="121" t="n"/>
      <c r="E274" s="120" t="n"/>
      <c r="F274" s="120" t="n"/>
      <c r="G274" s="120" t="n"/>
      <c r="H274" s="120" t="n"/>
      <c r="I274" s="117" t="n"/>
      <c r="J274" s="123" t="str">
        <f>IF(B274="","",IF(F274&lt;&gt;"",N(F274),ROUND(N(D274)*N(E274),2)))</f>
        <v/>
      </c>
      <c r="K274" s="123" t="str">
        <f>IF(B274="","",IF(H274&lt;&gt;"",N(H274),IF(B274="Dividendo",ROUND(J274*IFERROR(INDEX(Calcoli!$V$7:$V$21,MATCH(C274,Calcoli!$A$7:$A$21,0)),0.26),2),IF(B274="Vendita",ROUND(MAX(0,U274)*IFERROR(INDEX(Calcoli!$V$7:$V$21,MATCH(C274,Calcoli!$A$7:$A$21,0)),0.26),2),0))))</f>
        <v/>
      </c>
      <c r="L274" s="135" t="str">
        <f>IF(B274="","",IF(B274="Acquisto",-(J274+N(G274)),J274-N(G274)-K274))</f>
        <v/>
      </c>
      <c r="M274" s="127" t="str">
        <f>IF(B274="","",IF(ISNA(MATCH(C274,ETF!$A$7:$A$21,0)),"ETF?",IF(NOT(ISNUMBER(A274)),"Data?",IF(AND(B274&lt;&gt;"Dividendo",N(D274)&lt;=0),"Quote?",IF(AND(B274="Vendita",N(D274)&gt;N(Q274)+0.000001),"Quote?",IF(J274&lt;=0,"Importo?","✓"))))))</f>
        <v/>
      </c>
      <c r="N274" t="str">
        <f>IF(OR(B274="Acquisto",B274="Vendita"),COUNTIFS($C$5:C274,C274,$B$5:B274,"Acquisto")+COUNTIFS($C$5:C274,C274,$B$5:B274,"Vendita"),"")</f>
        <v/>
      </c>
      <c r="O274" t="str">
        <f>IF(N274="","",C274&amp;"|"&amp;N274)</f>
        <v/>
      </c>
      <c r="P274" t="str">
        <f>IF(N274="","",IF(N274=1,0,MATCH(C274&amp;"|"&amp;(N274-1),$O$5:$O$1004,0)))</f>
        <v/>
      </c>
      <c r="Q274" t="str">
        <f>IF(N274="","",IF(P274=0,SUMIFS(Calcoli!$C$7:$C$21,Calcoli!$A$7:$A$21,C274),INDEX($S$5:$S$1004,P274)))</f>
        <v/>
      </c>
      <c r="R274" t="str">
        <f>IF(N274="","",IF(P274=0,SUMIFS(Calcoli!$D$7:$D$21,Calcoli!$A$7:$A$21,C274),INDEX($T$5:$T$1004,P274)))</f>
        <v/>
      </c>
      <c r="S274" t="str">
        <f>IF(N274="","",IF(B274="Acquisto",Q274+N(D274),MAX(0,Q274-N(D274))))</f>
        <v/>
      </c>
      <c r="T274" t="str">
        <f>IF(N274="","",IF(B274="Acquisto",R274+J274+N(G274),IF(Q274&lt;=0,0,R274*(1-MIN(1,N(D274)/Q274)))))</f>
        <v/>
      </c>
      <c r="U274" t="str">
        <f>IF(B274&lt;&gt;"Vendita","",J274-N(G274)-IF(Q274&lt;=0,0,R274*MIN(1,N(D274)/Q274)))</f>
        <v/>
      </c>
      <c r="V274" t="str">
        <f>IF(B274&lt;&gt;"Dividendo","",IF(Calcoli!$B$251=1,J274,L274))</f>
        <v/>
      </c>
      <c r="W274" t="str">
        <f>IF(AND(V274&lt;&gt;"",ISNUMBER(A274)),A274,"")</f>
        <v/>
      </c>
    </row>
    <row r="275">
      <c r="A275" s="134" t="n"/>
      <c r="B275" s="116" t="n"/>
      <c r="C275" s="116" t="n"/>
      <c r="D275" s="121" t="n"/>
      <c r="E275" s="120" t="n"/>
      <c r="F275" s="120" t="n"/>
      <c r="G275" s="120" t="n"/>
      <c r="H275" s="120" t="n"/>
      <c r="I275" s="117" t="n"/>
      <c r="J275" s="123" t="str">
        <f>IF(B275="","",IF(F275&lt;&gt;"",N(F275),ROUND(N(D275)*N(E275),2)))</f>
        <v/>
      </c>
      <c r="K275" s="123" t="str">
        <f>IF(B275="","",IF(H275&lt;&gt;"",N(H275),IF(B275="Dividendo",ROUND(J275*IFERROR(INDEX(Calcoli!$V$7:$V$21,MATCH(C275,Calcoli!$A$7:$A$21,0)),0.26),2),IF(B275="Vendita",ROUND(MAX(0,U275)*IFERROR(INDEX(Calcoli!$V$7:$V$21,MATCH(C275,Calcoli!$A$7:$A$21,0)),0.26),2),0))))</f>
        <v/>
      </c>
      <c r="L275" s="135" t="str">
        <f>IF(B275="","",IF(B275="Acquisto",-(J275+N(G275)),J275-N(G275)-K275))</f>
        <v/>
      </c>
      <c r="M275" s="127" t="str">
        <f>IF(B275="","",IF(ISNA(MATCH(C275,ETF!$A$7:$A$21,0)),"ETF?",IF(NOT(ISNUMBER(A275)),"Data?",IF(AND(B275&lt;&gt;"Dividendo",N(D275)&lt;=0),"Quote?",IF(AND(B275="Vendita",N(D275)&gt;N(Q275)+0.000001),"Quote?",IF(J275&lt;=0,"Importo?","✓"))))))</f>
        <v/>
      </c>
      <c r="N275" t="str">
        <f>IF(OR(B275="Acquisto",B275="Vendita"),COUNTIFS($C$5:C275,C275,$B$5:B275,"Acquisto")+COUNTIFS($C$5:C275,C275,$B$5:B275,"Vendita"),"")</f>
        <v/>
      </c>
      <c r="O275" t="str">
        <f>IF(N275="","",C275&amp;"|"&amp;N275)</f>
        <v/>
      </c>
      <c r="P275" t="str">
        <f>IF(N275="","",IF(N275=1,0,MATCH(C275&amp;"|"&amp;(N275-1),$O$5:$O$1004,0)))</f>
        <v/>
      </c>
      <c r="Q275" t="str">
        <f>IF(N275="","",IF(P275=0,SUMIFS(Calcoli!$C$7:$C$21,Calcoli!$A$7:$A$21,C275),INDEX($S$5:$S$1004,P275)))</f>
        <v/>
      </c>
      <c r="R275" t="str">
        <f>IF(N275="","",IF(P275=0,SUMIFS(Calcoli!$D$7:$D$21,Calcoli!$A$7:$A$21,C275),INDEX($T$5:$T$1004,P275)))</f>
        <v/>
      </c>
      <c r="S275" t="str">
        <f>IF(N275="","",IF(B275="Acquisto",Q275+N(D275),MAX(0,Q275-N(D275))))</f>
        <v/>
      </c>
      <c r="T275" t="str">
        <f>IF(N275="","",IF(B275="Acquisto",R275+J275+N(G275),IF(Q275&lt;=0,0,R275*(1-MIN(1,N(D275)/Q275)))))</f>
        <v/>
      </c>
      <c r="U275" t="str">
        <f>IF(B275&lt;&gt;"Vendita","",J275-N(G275)-IF(Q275&lt;=0,0,R275*MIN(1,N(D275)/Q275)))</f>
        <v/>
      </c>
      <c r="V275" t="str">
        <f>IF(B275&lt;&gt;"Dividendo","",IF(Calcoli!$B$251=1,J275,L275))</f>
        <v/>
      </c>
      <c r="W275" t="str">
        <f>IF(AND(V275&lt;&gt;"",ISNUMBER(A275)),A275,"")</f>
        <v/>
      </c>
    </row>
    <row r="276">
      <c r="A276" s="134" t="n"/>
      <c r="B276" s="116" t="n"/>
      <c r="C276" s="116" t="n"/>
      <c r="D276" s="121" t="n"/>
      <c r="E276" s="120" t="n"/>
      <c r="F276" s="120" t="n"/>
      <c r="G276" s="120" t="n"/>
      <c r="H276" s="120" t="n"/>
      <c r="I276" s="117" t="n"/>
      <c r="J276" s="123" t="str">
        <f>IF(B276="","",IF(F276&lt;&gt;"",N(F276),ROUND(N(D276)*N(E276),2)))</f>
        <v/>
      </c>
      <c r="K276" s="123" t="str">
        <f>IF(B276="","",IF(H276&lt;&gt;"",N(H276),IF(B276="Dividendo",ROUND(J276*IFERROR(INDEX(Calcoli!$V$7:$V$21,MATCH(C276,Calcoli!$A$7:$A$21,0)),0.26),2),IF(B276="Vendita",ROUND(MAX(0,U276)*IFERROR(INDEX(Calcoli!$V$7:$V$21,MATCH(C276,Calcoli!$A$7:$A$21,0)),0.26),2),0))))</f>
        <v/>
      </c>
      <c r="L276" s="135" t="str">
        <f>IF(B276="","",IF(B276="Acquisto",-(J276+N(G276)),J276-N(G276)-K276))</f>
        <v/>
      </c>
      <c r="M276" s="127" t="str">
        <f>IF(B276="","",IF(ISNA(MATCH(C276,ETF!$A$7:$A$21,0)),"ETF?",IF(NOT(ISNUMBER(A276)),"Data?",IF(AND(B276&lt;&gt;"Dividendo",N(D276)&lt;=0),"Quote?",IF(AND(B276="Vendita",N(D276)&gt;N(Q276)+0.000001),"Quote?",IF(J276&lt;=0,"Importo?","✓"))))))</f>
        <v/>
      </c>
      <c r="N276" t="str">
        <f>IF(OR(B276="Acquisto",B276="Vendita"),COUNTIFS($C$5:C276,C276,$B$5:B276,"Acquisto")+COUNTIFS($C$5:C276,C276,$B$5:B276,"Vendita"),"")</f>
        <v/>
      </c>
      <c r="O276" t="str">
        <f>IF(N276="","",C276&amp;"|"&amp;N276)</f>
        <v/>
      </c>
      <c r="P276" t="str">
        <f>IF(N276="","",IF(N276=1,0,MATCH(C276&amp;"|"&amp;(N276-1),$O$5:$O$1004,0)))</f>
        <v/>
      </c>
      <c r="Q276" t="str">
        <f>IF(N276="","",IF(P276=0,SUMIFS(Calcoli!$C$7:$C$21,Calcoli!$A$7:$A$21,C276),INDEX($S$5:$S$1004,P276)))</f>
        <v/>
      </c>
      <c r="R276" t="str">
        <f>IF(N276="","",IF(P276=0,SUMIFS(Calcoli!$D$7:$D$21,Calcoli!$A$7:$A$21,C276),INDEX($T$5:$T$1004,P276)))</f>
        <v/>
      </c>
      <c r="S276" t="str">
        <f>IF(N276="","",IF(B276="Acquisto",Q276+N(D276),MAX(0,Q276-N(D276))))</f>
        <v/>
      </c>
      <c r="T276" t="str">
        <f>IF(N276="","",IF(B276="Acquisto",R276+J276+N(G276),IF(Q276&lt;=0,0,R276*(1-MIN(1,N(D276)/Q276)))))</f>
        <v/>
      </c>
      <c r="U276" t="str">
        <f>IF(B276&lt;&gt;"Vendita","",J276-N(G276)-IF(Q276&lt;=0,0,R276*MIN(1,N(D276)/Q276)))</f>
        <v/>
      </c>
      <c r="V276" t="str">
        <f>IF(B276&lt;&gt;"Dividendo","",IF(Calcoli!$B$251=1,J276,L276))</f>
        <v/>
      </c>
      <c r="W276" t="str">
        <f>IF(AND(V276&lt;&gt;"",ISNUMBER(A276)),A276,"")</f>
        <v/>
      </c>
    </row>
    <row r="277">
      <c r="A277" s="134" t="n"/>
      <c r="B277" s="116" t="n"/>
      <c r="C277" s="116" t="n"/>
      <c r="D277" s="121" t="n"/>
      <c r="E277" s="120" t="n"/>
      <c r="F277" s="120" t="n"/>
      <c r="G277" s="120" t="n"/>
      <c r="H277" s="120" t="n"/>
      <c r="I277" s="117" t="n"/>
      <c r="J277" s="123" t="str">
        <f>IF(B277="","",IF(F277&lt;&gt;"",N(F277),ROUND(N(D277)*N(E277),2)))</f>
        <v/>
      </c>
      <c r="K277" s="123" t="str">
        <f>IF(B277="","",IF(H277&lt;&gt;"",N(H277),IF(B277="Dividendo",ROUND(J277*IFERROR(INDEX(Calcoli!$V$7:$V$21,MATCH(C277,Calcoli!$A$7:$A$21,0)),0.26),2),IF(B277="Vendita",ROUND(MAX(0,U277)*IFERROR(INDEX(Calcoli!$V$7:$V$21,MATCH(C277,Calcoli!$A$7:$A$21,0)),0.26),2),0))))</f>
        <v/>
      </c>
      <c r="L277" s="135" t="str">
        <f>IF(B277="","",IF(B277="Acquisto",-(J277+N(G277)),J277-N(G277)-K277))</f>
        <v/>
      </c>
      <c r="M277" s="127" t="str">
        <f>IF(B277="","",IF(ISNA(MATCH(C277,ETF!$A$7:$A$21,0)),"ETF?",IF(NOT(ISNUMBER(A277)),"Data?",IF(AND(B277&lt;&gt;"Dividendo",N(D277)&lt;=0),"Quote?",IF(AND(B277="Vendita",N(D277)&gt;N(Q277)+0.000001),"Quote?",IF(J277&lt;=0,"Importo?","✓"))))))</f>
        <v/>
      </c>
      <c r="N277" t="str">
        <f>IF(OR(B277="Acquisto",B277="Vendita"),COUNTIFS($C$5:C277,C277,$B$5:B277,"Acquisto")+COUNTIFS($C$5:C277,C277,$B$5:B277,"Vendita"),"")</f>
        <v/>
      </c>
      <c r="O277" t="str">
        <f>IF(N277="","",C277&amp;"|"&amp;N277)</f>
        <v/>
      </c>
      <c r="P277" t="str">
        <f>IF(N277="","",IF(N277=1,0,MATCH(C277&amp;"|"&amp;(N277-1),$O$5:$O$1004,0)))</f>
        <v/>
      </c>
      <c r="Q277" t="str">
        <f>IF(N277="","",IF(P277=0,SUMIFS(Calcoli!$C$7:$C$21,Calcoli!$A$7:$A$21,C277),INDEX($S$5:$S$1004,P277)))</f>
        <v/>
      </c>
      <c r="R277" t="str">
        <f>IF(N277="","",IF(P277=0,SUMIFS(Calcoli!$D$7:$D$21,Calcoli!$A$7:$A$21,C277),INDEX($T$5:$T$1004,P277)))</f>
        <v/>
      </c>
      <c r="S277" t="str">
        <f>IF(N277="","",IF(B277="Acquisto",Q277+N(D277),MAX(0,Q277-N(D277))))</f>
        <v/>
      </c>
      <c r="T277" t="str">
        <f>IF(N277="","",IF(B277="Acquisto",R277+J277+N(G277),IF(Q277&lt;=0,0,R277*(1-MIN(1,N(D277)/Q277)))))</f>
        <v/>
      </c>
      <c r="U277" t="str">
        <f>IF(B277&lt;&gt;"Vendita","",J277-N(G277)-IF(Q277&lt;=0,0,R277*MIN(1,N(D277)/Q277)))</f>
        <v/>
      </c>
      <c r="V277" t="str">
        <f>IF(B277&lt;&gt;"Dividendo","",IF(Calcoli!$B$251=1,J277,L277))</f>
        <v/>
      </c>
      <c r="W277" t="str">
        <f>IF(AND(V277&lt;&gt;"",ISNUMBER(A277)),A277,"")</f>
        <v/>
      </c>
    </row>
    <row r="278">
      <c r="A278" s="134" t="n"/>
      <c r="B278" s="116" t="n"/>
      <c r="C278" s="116" t="n"/>
      <c r="D278" s="121" t="n"/>
      <c r="E278" s="120" t="n"/>
      <c r="F278" s="120" t="n"/>
      <c r="G278" s="120" t="n"/>
      <c r="H278" s="120" t="n"/>
      <c r="I278" s="117" t="n"/>
      <c r="J278" s="123" t="str">
        <f>IF(B278="","",IF(F278&lt;&gt;"",N(F278),ROUND(N(D278)*N(E278),2)))</f>
        <v/>
      </c>
      <c r="K278" s="123" t="str">
        <f>IF(B278="","",IF(H278&lt;&gt;"",N(H278),IF(B278="Dividendo",ROUND(J278*IFERROR(INDEX(Calcoli!$V$7:$V$21,MATCH(C278,Calcoli!$A$7:$A$21,0)),0.26),2),IF(B278="Vendita",ROUND(MAX(0,U278)*IFERROR(INDEX(Calcoli!$V$7:$V$21,MATCH(C278,Calcoli!$A$7:$A$21,0)),0.26),2),0))))</f>
        <v/>
      </c>
      <c r="L278" s="135" t="str">
        <f>IF(B278="","",IF(B278="Acquisto",-(J278+N(G278)),J278-N(G278)-K278))</f>
        <v/>
      </c>
      <c r="M278" s="127" t="str">
        <f>IF(B278="","",IF(ISNA(MATCH(C278,ETF!$A$7:$A$21,0)),"ETF?",IF(NOT(ISNUMBER(A278)),"Data?",IF(AND(B278&lt;&gt;"Dividendo",N(D278)&lt;=0),"Quote?",IF(AND(B278="Vendita",N(D278)&gt;N(Q278)+0.000001),"Quote?",IF(J278&lt;=0,"Importo?","✓"))))))</f>
        <v/>
      </c>
      <c r="N278" t="str">
        <f>IF(OR(B278="Acquisto",B278="Vendita"),COUNTIFS($C$5:C278,C278,$B$5:B278,"Acquisto")+COUNTIFS($C$5:C278,C278,$B$5:B278,"Vendita"),"")</f>
        <v/>
      </c>
      <c r="O278" t="str">
        <f>IF(N278="","",C278&amp;"|"&amp;N278)</f>
        <v/>
      </c>
      <c r="P278" t="str">
        <f>IF(N278="","",IF(N278=1,0,MATCH(C278&amp;"|"&amp;(N278-1),$O$5:$O$1004,0)))</f>
        <v/>
      </c>
      <c r="Q278" t="str">
        <f>IF(N278="","",IF(P278=0,SUMIFS(Calcoli!$C$7:$C$21,Calcoli!$A$7:$A$21,C278),INDEX($S$5:$S$1004,P278)))</f>
        <v/>
      </c>
      <c r="R278" t="str">
        <f>IF(N278="","",IF(P278=0,SUMIFS(Calcoli!$D$7:$D$21,Calcoli!$A$7:$A$21,C278),INDEX($T$5:$T$1004,P278)))</f>
        <v/>
      </c>
      <c r="S278" t="str">
        <f>IF(N278="","",IF(B278="Acquisto",Q278+N(D278),MAX(0,Q278-N(D278))))</f>
        <v/>
      </c>
      <c r="T278" t="str">
        <f>IF(N278="","",IF(B278="Acquisto",R278+J278+N(G278),IF(Q278&lt;=0,0,R278*(1-MIN(1,N(D278)/Q278)))))</f>
        <v/>
      </c>
      <c r="U278" t="str">
        <f>IF(B278&lt;&gt;"Vendita","",J278-N(G278)-IF(Q278&lt;=0,0,R278*MIN(1,N(D278)/Q278)))</f>
        <v/>
      </c>
      <c r="V278" t="str">
        <f>IF(B278&lt;&gt;"Dividendo","",IF(Calcoli!$B$251=1,J278,L278))</f>
        <v/>
      </c>
      <c r="W278" t="str">
        <f>IF(AND(V278&lt;&gt;"",ISNUMBER(A278)),A278,"")</f>
        <v/>
      </c>
    </row>
    <row r="279">
      <c r="A279" s="134" t="n"/>
      <c r="B279" s="116" t="n"/>
      <c r="C279" s="116" t="n"/>
      <c r="D279" s="121" t="n"/>
      <c r="E279" s="120" t="n"/>
      <c r="F279" s="120" t="n"/>
      <c r="G279" s="120" t="n"/>
      <c r="H279" s="120" t="n"/>
      <c r="I279" s="117" t="n"/>
      <c r="J279" s="123" t="str">
        <f>IF(B279="","",IF(F279&lt;&gt;"",N(F279),ROUND(N(D279)*N(E279),2)))</f>
        <v/>
      </c>
      <c r="K279" s="123" t="str">
        <f>IF(B279="","",IF(H279&lt;&gt;"",N(H279),IF(B279="Dividendo",ROUND(J279*IFERROR(INDEX(Calcoli!$V$7:$V$21,MATCH(C279,Calcoli!$A$7:$A$21,0)),0.26),2),IF(B279="Vendita",ROUND(MAX(0,U279)*IFERROR(INDEX(Calcoli!$V$7:$V$21,MATCH(C279,Calcoli!$A$7:$A$21,0)),0.26),2),0))))</f>
        <v/>
      </c>
      <c r="L279" s="135" t="str">
        <f>IF(B279="","",IF(B279="Acquisto",-(J279+N(G279)),J279-N(G279)-K279))</f>
        <v/>
      </c>
      <c r="M279" s="127" t="str">
        <f>IF(B279="","",IF(ISNA(MATCH(C279,ETF!$A$7:$A$21,0)),"ETF?",IF(NOT(ISNUMBER(A279)),"Data?",IF(AND(B279&lt;&gt;"Dividendo",N(D279)&lt;=0),"Quote?",IF(AND(B279="Vendita",N(D279)&gt;N(Q279)+0.000001),"Quote?",IF(J279&lt;=0,"Importo?","✓"))))))</f>
        <v/>
      </c>
      <c r="N279" t="str">
        <f>IF(OR(B279="Acquisto",B279="Vendita"),COUNTIFS($C$5:C279,C279,$B$5:B279,"Acquisto")+COUNTIFS($C$5:C279,C279,$B$5:B279,"Vendita"),"")</f>
        <v/>
      </c>
      <c r="O279" t="str">
        <f>IF(N279="","",C279&amp;"|"&amp;N279)</f>
        <v/>
      </c>
      <c r="P279" t="str">
        <f>IF(N279="","",IF(N279=1,0,MATCH(C279&amp;"|"&amp;(N279-1),$O$5:$O$1004,0)))</f>
        <v/>
      </c>
      <c r="Q279" t="str">
        <f>IF(N279="","",IF(P279=0,SUMIFS(Calcoli!$C$7:$C$21,Calcoli!$A$7:$A$21,C279),INDEX($S$5:$S$1004,P279)))</f>
        <v/>
      </c>
      <c r="R279" t="str">
        <f>IF(N279="","",IF(P279=0,SUMIFS(Calcoli!$D$7:$D$21,Calcoli!$A$7:$A$21,C279),INDEX($T$5:$T$1004,P279)))</f>
        <v/>
      </c>
      <c r="S279" t="str">
        <f>IF(N279="","",IF(B279="Acquisto",Q279+N(D279),MAX(0,Q279-N(D279))))</f>
        <v/>
      </c>
      <c r="T279" t="str">
        <f>IF(N279="","",IF(B279="Acquisto",R279+J279+N(G279),IF(Q279&lt;=0,0,R279*(1-MIN(1,N(D279)/Q279)))))</f>
        <v/>
      </c>
      <c r="U279" t="str">
        <f>IF(B279&lt;&gt;"Vendita","",J279-N(G279)-IF(Q279&lt;=0,0,R279*MIN(1,N(D279)/Q279)))</f>
        <v/>
      </c>
      <c r="V279" t="str">
        <f>IF(B279&lt;&gt;"Dividendo","",IF(Calcoli!$B$251=1,J279,L279))</f>
        <v/>
      </c>
      <c r="W279" t="str">
        <f>IF(AND(V279&lt;&gt;"",ISNUMBER(A279)),A279,"")</f>
        <v/>
      </c>
    </row>
    <row r="280">
      <c r="A280" s="134" t="n"/>
      <c r="B280" s="116" t="n"/>
      <c r="C280" s="116" t="n"/>
      <c r="D280" s="121" t="n"/>
      <c r="E280" s="120" t="n"/>
      <c r="F280" s="120" t="n"/>
      <c r="G280" s="120" t="n"/>
      <c r="H280" s="120" t="n"/>
      <c r="I280" s="117" t="n"/>
      <c r="J280" s="123" t="str">
        <f>IF(B280="","",IF(F280&lt;&gt;"",N(F280),ROUND(N(D280)*N(E280),2)))</f>
        <v/>
      </c>
      <c r="K280" s="123" t="str">
        <f>IF(B280="","",IF(H280&lt;&gt;"",N(H280),IF(B280="Dividendo",ROUND(J280*IFERROR(INDEX(Calcoli!$V$7:$V$21,MATCH(C280,Calcoli!$A$7:$A$21,0)),0.26),2),IF(B280="Vendita",ROUND(MAX(0,U280)*IFERROR(INDEX(Calcoli!$V$7:$V$21,MATCH(C280,Calcoli!$A$7:$A$21,0)),0.26),2),0))))</f>
        <v/>
      </c>
      <c r="L280" s="135" t="str">
        <f>IF(B280="","",IF(B280="Acquisto",-(J280+N(G280)),J280-N(G280)-K280))</f>
        <v/>
      </c>
      <c r="M280" s="127" t="str">
        <f>IF(B280="","",IF(ISNA(MATCH(C280,ETF!$A$7:$A$21,0)),"ETF?",IF(NOT(ISNUMBER(A280)),"Data?",IF(AND(B280&lt;&gt;"Dividendo",N(D280)&lt;=0),"Quote?",IF(AND(B280="Vendita",N(D280)&gt;N(Q280)+0.000001),"Quote?",IF(J280&lt;=0,"Importo?","✓"))))))</f>
        <v/>
      </c>
      <c r="N280" t="str">
        <f>IF(OR(B280="Acquisto",B280="Vendita"),COUNTIFS($C$5:C280,C280,$B$5:B280,"Acquisto")+COUNTIFS($C$5:C280,C280,$B$5:B280,"Vendita"),"")</f>
        <v/>
      </c>
      <c r="O280" t="str">
        <f>IF(N280="","",C280&amp;"|"&amp;N280)</f>
        <v/>
      </c>
      <c r="P280" t="str">
        <f>IF(N280="","",IF(N280=1,0,MATCH(C280&amp;"|"&amp;(N280-1),$O$5:$O$1004,0)))</f>
        <v/>
      </c>
      <c r="Q280" t="str">
        <f>IF(N280="","",IF(P280=0,SUMIFS(Calcoli!$C$7:$C$21,Calcoli!$A$7:$A$21,C280),INDEX($S$5:$S$1004,P280)))</f>
        <v/>
      </c>
      <c r="R280" t="str">
        <f>IF(N280="","",IF(P280=0,SUMIFS(Calcoli!$D$7:$D$21,Calcoli!$A$7:$A$21,C280),INDEX($T$5:$T$1004,P280)))</f>
        <v/>
      </c>
      <c r="S280" t="str">
        <f>IF(N280="","",IF(B280="Acquisto",Q280+N(D280),MAX(0,Q280-N(D280))))</f>
        <v/>
      </c>
      <c r="T280" t="str">
        <f>IF(N280="","",IF(B280="Acquisto",R280+J280+N(G280),IF(Q280&lt;=0,0,R280*(1-MIN(1,N(D280)/Q280)))))</f>
        <v/>
      </c>
      <c r="U280" t="str">
        <f>IF(B280&lt;&gt;"Vendita","",J280-N(G280)-IF(Q280&lt;=0,0,R280*MIN(1,N(D280)/Q280)))</f>
        <v/>
      </c>
      <c r="V280" t="str">
        <f>IF(B280&lt;&gt;"Dividendo","",IF(Calcoli!$B$251=1,J280,L280))</f>
        <v/>
      </c>
      <c r="W280" t="str">
        <f>IF(AND(V280&lt;&gt;"",ISNUMBER(A280)),A280,"")</f>
        <v/>
      </c>
    </row>
    <row r="281">
      <c r="A281" s="134" t="n"/>
      <c r="B281" s="116" t="n"/>
      <c r="C281" s="116" t="n"/>
      <c r="D281" s="121" t="n"/>
      <c r="E281" s="120" t="n"/>
      <c r="F281" s="120" t="n"/>
      <c r="G281" s="120" t="n"/>
      <c r="H281" s="120" t="n"/>
      <c r="I281" s="117" t="n"/>
      <c r="J281" s="123" t="str">
        <f>IF(B281="","",IF(F281&lt;&gt;"",N(F281),ROUND(N(D281)*N(E281),2)))</f>
        <v/>
      </c>
      <c r="K281" s="123" t="str">
        <f>IF(B281="","",IF(H281&lt;&gt;"",N(H281),IF(B281="Dividendo",ROUND(J281*IFERROR(INDEX(Calcoli!$V$7:$V$21,MATCH(C281,Calcoli!$A$7:$A$21,0)),0.26),2),IF(B281="Vendita",ROUND(MAX(0,U281)*IFERROR(INDEX(Calcoli!$V$7:$V$21,MATCH(C281,Calcoli!$A$7:$A$21,0)),0.26),2),0))))</f>
        <v/>
      </c>
      <c r="L281" s="135" t="str">
        <f>IF(B281="","",IF(B281="Acquisto",-(J281+N(G281)),J281-N(G281)-K281))</f>
        <v/>
      </c>
      <c r="M281" s="127" t="str">
        <f>IF(B281="","",IF(ISNA(MATCH(C281,ETF!$A$7:$A$21,0)),"ETF?",IF(NOT(ISNUMBER(A281)),"Data?",IF(AND(B281&lt;&gt;"Dividendo",N(D281)&lt;=0),"Quote?",IF(AND(B281="Vendita",N(D281)&gt;N(Q281)+0.000001),"Quote?",IF(J281&lt;=0,"Importo?","✓"))))))</f>
        <v/>
      </c>
      <c r="N281" t="str">
        <f>IF(OR(B281="Acquisto",B281="Vendita"),COUNTIFS($C$5:C281,C281,$B$5:B281,"Acquisto")+COUNTIFS($C$5:C281,C281,$B$5:B281,"Vendita"),"")</f>
        <v/>
      </c>
      <c r="O281" t="str">
        <f>IF(N281="","",C281&amp;"|"&amp;N281)</f>
        <v/>
      </c>
      <c r="P281" t="str">
        <f>IF(N281="","",IF(N281=1,0,MATCH(C281&amp;"|"&amp;(N281-1),$O$5:$O$1004,0)))</f>
        <v/>
      </c>
      <c r="Q281" t="str">
        <f>IF(N281="","",IF(P281=0,SUMIFS(Calcoli!$C$7:$C$21,Calcoli!$A$7:$A$21,C281),INDEX($S$5:$S$1004,P281)))</f>
        <v/>
      </c>
      <c r="R281" t="str">
        <f>IF(N281="","",IF(P281=0,SUMIFS(Calcoli!$D$7:$D$21,Calcoli!$A$7:$A$21,C281),INDEX($T$5:$T$1004,P281)))</f>
        <v/>
      </c>
      <c r="S281" t="str">
        <f>IF(N281="","",IF(B281="Acquisto",Q281+N(D281),MAX(0,Q281-N(D281))))</f>
        <v/>
      </c>
      <c r="T281" t="str">
        <f>IF(N281="","",IF(B281="Acquisto",R281+J281+N(G281),IF(Q281&lt;=0,0,R281*(1-MIN(1,N(D281)/Q281)))))</f>
        <v/>
      </c>
      <c r="U281" t="str">
        <f>IF(B281&lt;&gt;"Vendita","",J281-N(G281)-IF(Q281&lt;=0,0,R281*MIN(1,N(D281)/Q281)))</f>
        <v/>
      </c>
      <c r="V281" t="str">
        <f>IF(B281&lt;&gt;"Dividendo","",IF(Calcoli!$B$251=1,J281,L281))</f>
        <v/>
      </c>
      <c r="W281" t="str">
        <f>IF(AND(V281&lt;&gt;"",ISNUMBER(A281)),A281,"")</f>
        <v/>
      </c>
    </row>
    <row r="282">
      <c r="A282" s="134" t="n"/>
      <c r="B282" s="116" t="n"/>
      <c r="C282" s="116" t="n"/>
      <c r="D282" s="121" t="n"/>
      <c r="E282" s="120" t="n"/>
      <c r="F282" s="120" t="n"/>
      <c r="G282" s="120" t="n"/>
      <c r="H282" s="120" t="n"/>
      <c r="I282" s="117" t="n"/>
      <c r="J282" s="123" t="str">
        <f>IF(B282="","",IF(F282&lt;&gt;"",N(F282),ROUND(N(D282)*N(E282),2)))</f>
        <v/>
      </c>
      <c r="K282" s="123" t="str">
        <f>IF(B282="","",IF(H282&lt;&gt;"",N(H282),IF(B282="Dividendo",ROUND(J282*IFERROR(INDEX(Calcoli!$V$7:$V$21,MATCH(C282,Calcoli!$A$7:$A$21,0)),0.26),2),IF(B282="Vendita",ROUND(MAX(0,U282)*IFERROR(INDEX(Calcoli!$V$7:$V$21,MATCH(C282,Calcoli!$A$7:$A$21,0)),0.26),2),0))))</f>
        <v/>
      </c>
      <c r="L282" s="135" t="str">
        <f>IF(B282="","",IF(B282="Acquisto",-(J282+N(G282)),J282-N(G282)-K282))</f>
        <v/>
      </c>
      <c r="M282" s="127" t="str">
        <f>IF(B282="","",IF(ISNA(MATCH(C282,ETF!$A$7:$A$21,0)),"ETF?",IF(NOT(ISNUMBER(A282)),"Data?",IF(AND(B282&lt;&gt;"Dividendo",N(D282)&lt;=0),"Quote?",IF(AND(B282="Vendita",N(D282)&gt;N(Q282)+0.000001),"Quote?",IF(J282&lt;=0,"Importo?","✓"))))))</f>
        <v/>
      </c>
      <c r="N282" t="str">
        <f>IF(OR(B282="Acquisto",B282="Vendita"),COUNTIFS($C$5:C282,C282,$B$5:B282,"Acquisto")+COUNTIFS($C$5:C282,C282,$B$5:B282,"Vendita"),"")</f>
        <v/>
      </c>
      <c r="O282" t="str">
        <f>IF(N282="","",C282&amp;"|"&amp;N282)</f>
        <v/>
      </c>
      <c r="P282" t="str">
        <f>IF(N282="","",IF(N282=1,0,MATCH(C282&amp;"|"&amp;(N282-1),$O$5:$O$1004,0)))</f>
        <v/>
      </c>
      <c r="Q282" t="str">
        <f>IF(N282="","",IF(P282=0,SUMIFS(Calcoli!$C$7:$C$21,Calcoli!$A$7:$A$21,C282),INDEX($S$5:$S$1004,P282)))</f>
        <v/>
      </c>
      <c r="R282" t="str">
        <f>IF(N282="","",IF(P282=0,SUMIFS(Calcoli!$D$7:$D$21,Calcoli!$A$7:$A$21,C282),INDEX($T$5:$T$1004,P282)))</f>
        <v/>
      </c>
      <c r="S282" t="str">
        <f>IF(N282="","",IF(B282="Acquisto",Q282+N(D282),MAX(0,Q282-N(D282))))</f>
        <v/>
      </c>
      <c r="T282" t="str">
        <f>IF(N282="","",IF(B282="Acquisto",R282+J282+N(G282),IF(Q282&lt;=0,0,R282*(1-MIN(1,N(D282)/Q282)))))</f>
        <v/>
      </c>
      <c r="U282" t="str">
        <f>IF(B282&lt;&gt;"Vendita","",J282-N(G282)-IF(Q282&lt;=0,0,R282*MIN(1,N(D282)/Q282)))</f>
        <v/>
      </c>
      <c r="V282" t="str">
        <f>IF(B282&lt;&gt;"Dividendo","",IF(Calcoli!$B$251=1,J282,L282))</f>
        <v/>
      </c>
      <c r="W282" t="str">
        <f>IF(AND(V282&lt;&gt;"",ISNUMBER(A282)),A282,"")</f>
        <v/>
      </c>
    </row>
    <row r="283">
      <c r="A283" s="134" t="n"/>
      <c r="B283" s="116" t="n"/>
      <c r="C283" s="116" t="n"/>
      <c r="D283" s="121" t="n"/>
      <c r="E283" s="120" t="n"/>
      <c r="F283" s="120" t="n"/>
      <c r="G283" s="120" t="n"/>
      <c r="H283" s="120" t="n"/>
      <c r="I283" s="117" t="n"/>
      <c r="J283" s="123" t="str">
        <f>IF(B283="","",IF(F283&lt;&gt;"",N(F283),ROUND(N(D283)*N(E283),2)))</f>
        <v/>
      </c>
      <c r="K283" s="123" t="str">
        <f>IF(B283="","",IF(H283&lt;&gt;"",N(H283),IF(B283="Dividendo",ROUND(J283*IFERROR(INDEX(Calcoli!$V$7:$V$21,MATCH(C283,Calcoli!$A$7:$A$21,0)),0.26),2),IF(B283="Vendita",ROUND(MAX(0,U283)*IFERROR(INDEX(Calcoli!$V$7:$V$21,MATCH(C283,Calcoli!$A$7:$A$21,0)),0.26),2),0))))</f>
        <v/>
      </c>
      <c r="L283" s="135" t="str">
        <f>IF(B283="","",IF(B283="Acquisto",-(J283+N(G283)),J283-N(G283)-K283))</f>
        <v/>
      </c>
      <c r="M283" s="127" t="str">
        <f>IF(B283="","",IF(ISNA(MATCH(C283,ETF!$A$7:$A$21,0)),"ETF?",IF(NOT(ISNUMBER(A283)),"Data?",IF(AND(B283&lt;&gt;"Dividendo",N(D283)&lt;=0),"Quote?",IF(AND(B283="Vendita",N(D283)&gt;N(Q283)+0.000001),"Quote?",IF(J283&lt;=0,"Importo?","✓"))))))</f>
        <v/>
      </c>
      <c r="N283" t="str">
        <f>IF(OR(B283="Acquisto",B283="Vendita"),COUNTIFS($C$5:C283,C283,$B$5:B283,"Acquisto")+COUNTIFS($C$5:C283,C283,$B$5:B283,"Vendita"),"")</f>
        <v/>
      </c>
      <c r="O283" t="str">
        <f>IF(N283="","",C283&amp;"|"&amp;N283)</f>
        <v/>
      </c>
      <c r="P283" t="str">
        <f>IF(N283="","",IF(N283=1,0,MATCH(C283&amp;"|"&amp;(N283-1),$O$5:$O$1004,0)))</f>
        <v/>
      </c>
      <c r="Q283" t="str">
        <f>IF(N283="","",IF(P283=0,SUMIFS(Calcoli!$C$7:$C$21,Calcoli!$A$7:$A$21,C283),INDEX($S$5:$S$1004,P283)))</f>
        <v/>
      </c>
      <c r="R283" t="str">
        <f>IF(N283="","",IF(P283=0,SUMIFS(Calcoli!$D$7:$D$21,Calcoli!$A$7:$A$21,C283),INDEX($T$5:$T$1004,P283)))</f>
        <v/>
      </c>
      <c r="S283" t="str">
        <f>IF(N283="","",IF(B283="Acquisto",Q283+N(D283),MAX(0,Q283-N(D283))))</f>
        <v/>
      </c>
      <c r="T283" t="str">
        <f>IF(N283="","",IF(B283="Acquisto",R283+J283+N(G283),IF(Q283&lt;=0,0,R283*(1-MIN(1,N(D283)/Q283)))))</f>
        <v/>
      </c>
      <c r="U283" t="str">
        <f>IF(B283&lt;&gt;"Vendita","",J283-N(G283)-IF(Q283&lt;=0,0,R283*MIN(1,N(D283)/Q283)))</f>
        <v/>
      </c>
      <c r="V283" t="str">
        <f>IF(B283&lt;&gt;"Dividendo","",IF(Calcoli!$B$251=1,J283,L283))</f>
        <v/>
      </c>
      <c r="W283" t="str">
        <f>IF(AND(V283&lt;&gt;"",ISNUMBER(A283)),A283,"")</f>
        <v/>
      </c>
    </row>
    <row r="284">
      <c r="A284" s="134" t="n"/>
      <c r="B284" s="116" t="n"/>
      <c r="C284" s="116" t="n"/>
      <c r="D284" s="121" t="n"/>
      <c r="E284" s="120" t="n"/>
      <c r="F284" s="120" t="n"/>
      <c r="G284" s="120" t="n"/>
      <c r="H284" s="120" t="n"/>
      <c r="I284" s="117" t="n"/>
      <c r="J284" s="123" t="str">
        <f>IF(B284="","",IF(F284&lt;&gt;"",N(F284),ROUND(N(D284)*N(E284),2)))</f>
        <v/>
      </c>
      <c r="K284" s="123" t="str">
        <f>IF(B284="","",IF(H284&lt;&gt;"",N(H284),IF(B284="Dividendo",ROUND(J284*IFERROR(INDEX(Calcoli!$V$7:$V$21,MATCH(C284,Calcoli!$A$7:$A$21,0)),0.26),2),IF(B284="Vendita",ROUND(MAX(0,U284)*IFERROR(INDEX(Calcoli!$V$7:$V$21,MATCH(C284,Calcoli!$A$7:$A$21,0)),0.26),2),0))))</f>
        <v/>
      </c>
      <c r="L284" s="135" t="str">
        <f>IF(B284="","",IF(B284="Acquisto",-(J284+N(G284)),J284-N(G284)-K284))</f>
        <v/>
      </c>
      <c r="M284" s="127" t="str">
        <f>IF(B284="","",IF(ISNA(MATCH(C284,ETF!$A$7:$A$21,0)),"ETF?",IF(NOT(ISNUMBER(A284)),"Data?",IF(AND(B284&lt;&gt;"Dividendo",N(D284)&lt;=0),"Quote?",IF(AND(B284="Vendita",N(D284)&gt;N(Q284)+0.000001),"Quote?",IF(J284&lt;=0,"Importo?","✓"))))))</f>
        <v/>
      </c>
      <c r="N284" t="str">
        <f>IF(OR(B284="Acquisto",B284="Vendita"),COUNTIFS($C$5:C284,C284,$B$5:B284,"Acquisto")+COUNTIFS($C$5:C284,C284,$B$5:B284,"Vendita"),"")</f>
        <v/>
      </c>
      <c r="O284" t="str">
        <f>IF(N284="","",C284&amp;"|"&amp;N284)</f>
        <v/>
      </c>
      <c r="P284" t="str">
        <f>IF(N284="","",IF(N284=1,0,MATCH(C284&amp;"|"&amp;(N284-1),$O$5:$O$1004,0)))</f>
        <v/>
      </c>
      <c r="Q284" t="str">
        <f>IF(N284="","",IF(P284=0,SUMIFS(Calcoli!$C$7:$C$21,Calcoli!$A$7:$A$21,C284),INDEX($S$5:$S$1004,P284)))</f>
        <v/>
      </c>
      <c r="R284" t="str">
        <f>IF(N284="","",IF(P284=0,SUMIFS(Calcoli!$D$7:$D$21,Calcoli!$A$7:$A$21,C284),INDEX($T$5:$T$1004,P284)))</f>
        <v/>
      </c>
      <c r="S284" t="str">
        <f>IF(N284="","",IF(B284="Acquisto",Q284+N(D284),MAX(0,Q284-N(D284))))</f>
        <v/>
      </c>
      <c r="T284" t="str">
        <f>IF(N284="","",IF(B284="Acquisto",R284+J284+N(G284),IF(Q284&lt;=0,0,R284*(1-MIN(1,N(D284)/Q284)))))</f>
        <v/>
      </c>
      <c r="U284" t="str">
        <f>IF(B284&lt;&gt;"Vendita","",J284-N(G284)-IF(Q284&lt;=0,0,R284*MIN(1,N(D284)/Q284)))</f>
        <v/>
      </c>
      <c r="V284" t="str">
        <f>IF(B284&lt;&gt;"Dividendo","",IF(Calcoli!$B$251=1,J284,L284))</f>
        <v/>
      </c>
      <c r="W284" t="str">
        <f>IF(AND(V284&lt;&gt;"",ISNUMBER(A284)),A284,"")</f>
        <v/>
      </c>
    </row>
    <row r="285">
      <c r="A285" s="134" t="n"/>
      <c r="B285" s="116" t="n"/>
      <c r="C285" s="116" t="n"/>
      <c r="D285" s="121" t="n"/>
      <c r="E285" s="120" t="n"/>
      <c r="F285" s="120" t="n"/>
      <c r="G285" s="120" t="n"/>
      <c r="H285" s="120" t="n"/>
      <c r="I285" s="117" t="n"/>
      <c r="J285" s="123" t="str">
        <f>IF(B285="","",IF(F285&lt;&gt;"",N(F285),ROUND(N(D285)*N(E285),2)))</f>
        <v/>
      </c>
      <c r="K285" s="123" t="str">
        <f>IF(B285="","",IF(H285&lt;&gt;"",N(H285),IF(B285="Dividendo",ROUND(J285*IFERROR(INDEX(Calcoli!$V$7:$V$21,MATCH(C285,Calcoli!$A$7:$A$21,0)),0.26),2),IF(B285="Vendita",ROUND(MAX(0,U285)*IFERROR(INDEX(Calcoli!$V$7:$V$21,MATCH(C285,Calcoli!$A$7:$A$21,0)),0.26),2),0))))</f>
        <v/>
      </c>
      <c r="L285" s="135" t="str">
        <f>IF(B285="","",IF(B285="Acquisto",-(J285+N(G285)),J285-N(G285)-K285))</f>
        <v/>
      </c>
      <c r="M285" s="127" t="str">
        <f>IF(B285="","",IF(ISNA(MATCH(C285,ETF!$A$7:$A$21,0)),"ETF?",IF(NOT(ISNUMBER(A285)),"Data?",IF(AND(B285&lt;&gt;"Dividendo",N(D285)&lt;=0),"Quote?",IF(AND(B285="Vendita",N(D285)&gt;N(Q285)+0.000001),"Quote?",IF(J285&lt;=0,"Importo?","✓"))))))</f>
        <v/>
      </c>
      <c r="N285" t="str">
        <f>IF(OR(B285="Acquisto",B285="Vendita"),COUNTIFS($C$5:C285,C285,$B$5:B285,"Acquisto")+COUNTIFS($C$5:C285,C285,$B$5:B285,"Vendita"),"")</f>
        <v/>
      </c>
      <c r="O285" t="str">
        <f>IF(N285="","",C285&amp;"|"&amp;N285)</f>
        <v/>
      </c>
      <c r="P285" t="str">
        <f>IF(N285="","",IF(N285=1,0,MATCH(C285&amp;"|"&amp;(N285-1),$O$5:$O$1004,0)))</f>
        <v/>
      </c>
      <c r="Q285" t="str">
        <f>IF(N285="","",IF(P285=0,SUMIFS(Calcoli!$C$7:$C$21,Calcoli!$A$7:$A$21,C285),INDEX($S$5:$S$1004,P285)))</f>
        <v/>
      </c>
      <c r="R285" t="str">
        <f>IF(N285="","",IF(P285=0,SUMIFS(Calcoli!$D$7:$D$21,Calcoli!$A$7:$A$21,C285),INDEX($T$5:$T$1004,P285)))</f>
        <v/>
      </c>
      <c r="S285" t="str">
        <f>IF(N285="","",IF(B285="Acquisto",Q285+N(D285),MAX(0,Q285-N(D285))))</f>
        <v/>
      </c>
      <c r="T285" t="str">
        <f>IF(N285="","",IF(B285="Acquisto",R285+J285+N(G285),IF(Q285&lt;=0,0,R285*(1-MIN(1,N(D285)/Q285)))))</f>
        <v/>
      </c>
      <c r="U285" t="str">
        <f>IF(B285&lt;&gt;"Vendita","",J285-N(G285)-IF(Q285&lt;=0,0,R285*MIN(1,N(D285)/Q285)))</f>
        <v/>
      </c>
      <c r="V285" t="str">
        <f>IF(B285&lt;&gt;"Dividendo","",IF(Calcoli!$B$251=1,J285,L285))</f>
        <v/>
      </c>
      <c r="W285" t="str">
        <f>IF(AND(V285&lt;&gt;"",ISNUMBER(A285)),A285,"")</f>
        <v/>
      </c>
    </row>
    <row r="286">
      <c r="A286" s="134" t="n"/>
      <c r="B286" s="116" t="n"/>
      <c r="C286" s="116" t="n"/>
      <c r="D286" s="121" t="n"/>
      <c r="E286" s="120" t="n"/>
      <c r="F286" s="120" t="n"/>
      <c r="G286" s="120" t="n"/>
      <c r="H286" s="120" t="n"/>
      <c r="I286" s="117" t="n"/>
      <c r="J286" s="123" t="str">
        <f>IF(B286="","",IF(F286&lt;&gt;"",N(F286),ROUND(N(D286)*N(E286),2)))</f>
        <v/>
      </c>
      <c r="K286" s="123" t="str">
        <f>IF(B286="","",IF(H286&lt;&gt;"",N(H286),IF(B286="Dividendo",ROUND(J286*IFERROR(INDEX(Calcoli!$V$7:$V$21,MATCH(C286,Calcoli!$A$7:$A$21,0)),0.26),2),IF(B286="Vendita",ROUND(MAX(0,U286)*IFERROR(INDEX(Calcoli!$V$7:$V$21,MATCH(C286,Calcoli!$A$7:$A$21,0)),0.26),2),0))))</f>
        <v/>
      </c>
      <c r="L286" s="135" t="str">
        <f>IF(B286="","",IF(B286="Acquisto",-(J286+N(G286)),J286-N(G286)-K286))</f>
        <v/>
      </c>
      <c r="M286" s="127" t="str">
        <f>IF(B286="","",IF(ISNA(MATCH(C286,ETF!$A$7:$A$21,0)),"ETF?",IF(NOT(ISNUMBER(A286)),"Data?",IF(AND(B286&lt;&gt;"Dividendo",N(D286)&lt;=0),"Quote?",IF(AND(B286="Vendita",N(D286)&gt;N(Q286)+0.000001),"Quote?",IF(J286&lt;=0,"Importo?","✓"))))))</f>
        <v/>
      </c>
      <c r="N286" t="str">
        <f>IF(OR(B286="Acquisto",B286="Vendita"),COUNTIFS($C$5:C286,C286,$B$5:B286,"Acquisto")+COUNTIFS($C$5:C286,C286,$B$5:B286,"Vendita"),"")</f>
        <v/>
      </c>
      <c r="O286" t="str">
        <f>IF(N286="","",C286&amp;"|"&amp;N286)</f>
        <v/>
      </c>
      <c r="P286" t="str">
        <f>IF(N286="","",IF(N286=1,0,MATCH(C286&amp;"|"&amp;(N286-1),$O$5:$O$1004,0)))</f>
        <v/>
      </c>
      <c r="Q286" t="str">
        <f>IF(N286="","",IF(P286=0,SUMIFS(Calcoli!$C$7:$C$21,Calcoli!$A$7:$A$21,C286),INDEX($S$5:$S$1004,P286)))</f>
        <v/>
      </c>
      <c r="R286" t="str">
        <f>IF(N286="","",IF(P286=0,SUMIFS(Calcoli!$D$7:$D$21,Calcoli!$A$7:$A$21,C286),INDEX($T$5:$T$1004,P286)))</f>
        <v/>
      </c>
      <c r="S286" t="str">
        <f>IF(N286="","",IF(B286="Acquisto",Q286+N(D286),MAX(0,Q286-N(D286))))</f>
        <v/>
      </c>
      <c r="T286" t="str">
        <f>IF(N286="","",IF(B286="Acquisto",R286+J286+N(G286),IF(Q286&lt;=0,0,R286*(1-MIN(1,N(D286)/Q286)))))</f>
        <v/>
      </c>
      <c r="U286" t="str">
        <f>IF(B286&lt;&gt;"Vendita","",J286-N(G286)-IF(Q286&lt;=0,0,R286*MIN(1,N(D286)/Q286)))</f>
        <v/>
      </c>
      <c r="V286" t="str">
        <f>IF(B286&lt;&gt;"Dividendo","",IF(Calcoli!$B$251=1,J286,L286))</f>
        <v/>
      </c>
      <c r="W286" t="str">
        <f>IF(AND(V286&lt;&gt;"",ISNUMBER(A286)),A286,"")</f>
        <v/>
      </c>
    </row>
    <row r="287">
      <c r="A287" s="134" t="n"/>
      <c r="B287" s="116" t="n"/>
      <c r="C287" s="116" t="n"/>
      <c r="D287" s="121" t="n"/>
      <c r="E287" s="120" t="n"/>
      <c r="F287" s="120" t="n"/>
      <c r="G287" s="120" t="n"/>
      <c r="H287" s="120" t="n"/>
      <c r="I287" s="117" t="n"/>
      <c r="J287" s="123" t="str">
        <f>IF(B287="","",IF(F287&lt;&gt;"",N(F287),ROUND(N(D287)*N(E287),2)))</f>
        <v/>
      </c>
      <c r="K287" s="123" t="str">
        <f>IF(B287="","",IF(H287&lt;&gt;"",N(H287),IF(B287="Dividendo",ROUND(J287*IFERROR(INDEX(Calcoli!$V$7:$V$21,MATCH(C287,Calcoli!$A$7:$A$21,0)),0.26),2),IF(B287="Vendita",ROUND(MAX(0,U287)*IFERROR(INDEX(Calcoli!$V$7:$V$21,MATCH(C287,Calcoli!$A$7:$A$21,0)),0.26),2),0))))</f>
        <v/>
      </c>
      <c r="L287" s="135" t="str">
        <f>IF(B287="","",IF(B287="Acquisto",-(J287+N(G287)),J287-N(G287)-K287))</f>
        <v/>
      </c>
      <c r="M287" s="127" t="str">
        <f>IF(B287="","",IF(ISNA(MATCH(C287,ETF!$A$7:$A$21,0)),"ETF?",IF(NOT(ISNUMBER(A287)),"Data?",IF(AND(B287&lt;&gt;"Dividendo",N(D287)&lt;=0),"Quote?",IF(AND(B287="Vendita",N(D287)&gt;N(Q287)+0.000001),"Quote?",IF(J287&lt;=0,"Importo?","✓"))))))</f>
        <v/>
      </c>
      <c r="N287" t="str">
        <f>IF(OR(B287="Acquisto",B287="Vendita"),COUNTIFS($C$5:C287,C287,$B$5:B287,"Acquisto")+COUNTIFS($C$5:C287,C287,$B$5:B287,"Vendita"),"")</f>
        <v/>
      </c>
      <c r="O287" t="str">
        <f>IF(N287="","",C287&amp;"|"&amp;N287)</f>
        <v/>
      </c>
      <c r="P287" t="str">
        <f>IF(N287="","",IF(N287=1,0,MATCH(C287&amp;"|"&amp;(N287-1),$O$5:$O$1004,0)))</f>
        <v/>
      </c>
      <c r="Q287" t="str">
        <f>IF(N287="","",IF(P287=0,SUMIFS(Calcoli!$C$7:$C$21,Calcoli!$A$7:$A$21,C287),INDEX($S$5:$S$1004,P287)))</f>
        <v/>
      </c>
      <c r="R287" t="str">
        <f>IF(N287="","",IF(P287=0,SUMIFS(Calcoli!$D$7:$D$21,Calcoli!$A$7:$A$21,C287),INDEX($T$5:$T$1004,P287)))</f>
        <v/>
      </c>
      <c r="S287" t="str">
        <f>IF(N287="","",IF(B287="Acquisto",Q287+N(D287),MAX(0,Q287-N(D287))))</f>
        <v/>
      </c>
      <c r="T287" t="str">
        <f>IF(N287="","",IF(B287="Acquisto",R287+J287+N(G287),IF(Q287&lt;=0,0,R287*(1-MIN(1,N(D287)/Q287)))))</f>
        <v/>
      </c>
      <c r="U287" t="str">
        <f>IF(B287&lt;&gt;"Vendita","",J287-N(G287)-IF(Q287&lt;=0,0,R287*MIN(1,N(D287)/Q287)))</f>
        <v/>
      </c>
      <c r="V287" t="str">
        <f>IF(B287&lt;&gt;"Dividendo","",IF(Calcoli!$B$251=1,J287,L287))</f>
        <v/>
      </c>
      <c r="W287" t="str">
        <f>IF(AND(V287&lt;&gt;"",ISNUMBER(A287)),A287,"")</f>
        <v/>
      </c>
    </row>
    <row r="288">
      <c r="A288" s="134" t="n"/>
      <c r="B288" s="116" t="n"/>
      <c r="C288" s="116" t="n"/>
      <c r="D288" s="121" t="n"/>
      <c r="E288" s="120" t="n"/>
      <c r="F288" s="120" t="n"/>
      <c r="G288" s="120" t="n"/>
      <c r="H288" s="120" t="n"/>
      <c r="I288" s="117" t="n"/>
      <c r="J288" s="123" t="str">
        <f>IF(B288="","",IF(F288&lt;&gt;"",N(F288),ROUND(N(D288)*N(E288),2)))</f>
        <v/>
      </c>
      <c r="K288" s="123" t="str">
        <f>IF(B288="","",IF(H288&lt;&gt;"",N(H288),IF(B288="Dividendo",ROUND(J288*IFERROR(INDEX(Calcoli!$V$7:$V$21,MATCH(C288,Calcoli!$A$7:$A$21,0)),0.26),2),IF(B288="Vendita",ROUND(MAX(0,U288)*IFERROR(INDEX(Calcoli!$V$7:$V$21,MATCH(C288,Calcoli!$A$7:$A$21,0)),0.26),2),0))))</f>
        <v/>
      </c>
      <c r="L288" s="135" t="str">
        <f>IF(B288="","",IF(B288="Acquisto",-(J288+N(G288)),J288-N(G288)-K288))</f>
        <v/>
      </c>
      <c r="M288" s="127" t="str">
        <f>IF(B288="","",IF(ISNA(MATCH(C288,ETF!$A$7:$A$21,0)),"ETF?",IF(NOT(ISNUMBER(A288)),"Data?",IF(AND(B288&lt;&gt;"Dividendo",N(D288)&lt;=0),"Quote?",IF(AND(B288="Vendita",N(D288)&gt;N(Q288)+0.000001),"Quote?",IF(J288&lt;=0,"Importo?","✓"))))))</f>
        <v/>
      </c>
      <c r="N288" t="str">
        <f>IF(OR(B288="Acquisto",B288="Vendita"),COUNTIFS($C$5:C288,C288,$B$5:B288,"Acquisto")+COUNTIFS($C$5:C288,C288,$B$5:B288,"Vendita"),"")</f>
        <v/>
      </c>
      <c r="O288" t="str">
        <f>IF(N288="","",C288&amp;"|"&amp;N288)</f>
        <v/>
      </c>
      <c r="P288" t="str">
        <f>IF(N288="","",IF(N288=1,0,MATCH(C288&amp;"|"&amp;(N288-1),$O$5:$O$1004,0)))</f>
        <v/>
      </c>
      <c r="Q288" t="str">
        <f>IF(N288="","",IF(P288=0,SUMIFS(Calcoli!$C$7:$C$21,Calcoli!$A$7:$A$21,C288),INDEX($S$5:$S$1004,P288)))</f>
        <v/>
      </c>
      <c r="R288" t="str">
        <f>IF(N288="","",IF(P288=0,SUMIFS(Calcoli!$D$7:$D$21,Calcoli!$A$7:$A$21,C288),INDEX($T$5:$T$1004,P288)))</f>
        <v/>
      </c>
      <c r="S288" t="str">
        <f>IF(N288="","",IF(B288="Acquisto",Q288+N(D288),MAX(0,Q288-N(D288))))</f>
        <v/>
      </c>
      <c r="T288" t="str">
        <f>IF(N288="","",IF(B288="Acquisto",R288+J288+N(G288),IF(Q288&lt;=0,0,R288*(1-MIN(1,N(D288)/Q288)))))</f>
        <v/>
      </c>
      <c r="U288" t="str">
        <f>IF(B288&lt;&gt;"Vendita","",J288-N(G288)-IF(Q288&lt;=0,0,R288*MIN(1,N(D288)/Q288)))</f>
        <v/>
      </c>
      <c r="V288" t="str">
        <f>IF(B288&lt;&gt;"Dividendo","",IF(Calcoli!$B$251=1,J288,L288))</f>
        <v/>
      </c>
      <c r="W288" t="str">
        <f>IF(AND(V288&lt;&gt;"",ISNUMBER(A288)),A288,"")</f>
        <v/>
      </c>
    </row>
    <row r="289">
      <c r="A289" s="134" t="n"/>
      <c r="B289" s="116" t="n"/>
      <c r="C289" s="116" t="n"/>
      <c r="D289" s="121" t="n"/>
      <c r="E289" s="120" t="n"/>
      <c r="F289" s="120" t="n"/>
      <c r="G289" s="120" t="n"/>
      <c r="H289" s="120" t="n"/>
      <c r="I289" s="117" t="n"/>
      <c r="J289" s="123" t="str">
        <f>IF(B289="","",IF(F289&lt;&gt;"",N(F289),ROUND(N(D289)*N(E289),2)))</f>
        <v/>
      </c>
      <c r="K289" s="123" t="str">
        <f>IF(B289="","",IF(H289&lt;&gt;"",N(H289),IF(B289="Dividendo",ROUND(J289*IFERROR(INDEX(Calcoli!$V$7:$V$21,MATCH(C289,Calcoli!$A$7:$A$21,0)),0.26),2),IF(B289="Vendita",ROUND(MAX(0,U289)*IFERROR(INDEX(Calcoli!$V$7:$V$21,MATCH(C289,Calcoli!$A$7:$A$21,0)),0.26),2),0))))</f>
        <v/>
      </c>
      <c r="L289" s="135" t="str">
        <f>IF(B289="","",IF(B289="Acquisto",-(J289+N(G289)),J289-N(G289)-K289))</f>
        <v/>
      </c>
      <c r="M289" s="127" t="str">
        <f>IF(B289="","",IF(ISNA(MATCH(C289,ETF!$A$7:$A$21,0)),"ETF?",IF(NOT(ISNUMBER(A289)),"Data?",IF(AND(B289&lt;&gt;"Dividendo",N(D289)&lt;=0),"Quote?",IF(AND(B289="Vendita",N(D289)&gt;N(Q289)+0.000001),"Quote?",IF(J289&lt;=0,"Importo?","✓"))))))</f>
        <v/>
      </c>
      <c r="N289" t="str">
        <f>IF(OR(B289="Acquisto",B289="Vendita"),COUNTIFS($C$5:C289,C289,$B$5:B289,"Acquisto")+COUNTIFS($C$5:C289,C289,$B$5:B289,"Vendita"),"")</f>
        <v/>
      </c>
      <c r="O289" t="str">
        <f>IF(N289="","",C289&amp;"|"&amp;N289)</f>
        <v/>
      </c>
      <c r="P289" t="str">
        <f>IF(N289="","",IF(N289=1,0,MATCH(C289&amp;"|"&amp;(N289-1),$O$5:$O$1004,0)))</f>
        <v/>
      </c>
      <c r="Q289" t="str">
        <f>IF(N289="","",IF(P289=0,SUMIFS(Calcoli!$C$7:$C$21,Calcoli!$A$7:$A$21,C289),INDEX($S$5:$S$1004,P289)))</f>
        <v/>
      </c>
      <c r="R289" t="str">
        <f>IF(N289="","",IF(P289=0,SUMIFS(Calcoli!$D$7:$D$21,Calcoli!$A$7:$A$21,C289),INDEX($T$5:$T$1004,P289)))</f>
        <v/>
      </c>
      <c r="S289" t="str">
        <f>IF(N289="","",IF(B289="Acquisto",Q289+N(D289),MAX(0,Q289-N(D289))))</f>
        <v/>
      </c>
      <c r="T289" t="str">
        <f>IF(N289="","",IF(B289="Acquisto",R289+J289+N(G289),IF(Q289&lt;=0,0,R289*(1-MIN(1,N(D289)/Q289)))))</f>
        <v/>
      </c>
      <c r="U289" t="str">
        <f>IF(B289&lt;&gt;"Vendita","",J289-N(G289)-IF(Q289&lt;=0,0,R289*MIN(1,N(D289)/Q289)))</f>
        <v/>
      </c>
      <c r="V289" t="str">
        <f>IF(B289&lt;&gt;"Dividendo","",IF(Calcoli!$B$251=1,J289,L289))</f>
        <v/>
      </c>
      <c r="W289" t="str">
        <f>IF(AND(V289&lt;&gt;"",ISNUMBER(A289)),A289,"")</f>
        <v/>
      </c>
    </row>
    <row r="290">
      <c r="A290" s="134" t="n"/>
      <c r="B290" s="116" t="n"/>
      <c r="C290" s="116" t="n"/>
      <c r="D290" s="121" t="n"/>
      <c r="E290" s="120" t="n"/>
      <c r="F290" s="120" t="n"/>
      <c r="G290" s="120" t="n"/>
      <c r="H290" s="120" t="n"/>
      <c r="I290" s="117" t="n"/>
      <c r="J290" s="123" t="str">
        <f>IF(B290="","",IF(F290&lt;&gt;"",N(F290),ROUND(N(D290)*N(E290),2)))</f>
        <v/>
      </c>
      <c r="K290" s="123" t="str">
        <f>IF(B290="","",IF(H290&lt;&gt;"",N(H290),IF(B290="Dividendo",ROUND(J290*IFERROR(INDEX(Calcoli!$V$7:$V$21,MATCH(C290,Calcoli!$A$7:$A$21,0)),0.26),2),IF(B290="Vendita",ROUND(MAX(0,U290)*IFERROR(INDEX(Calcoli!$V$7:$V$21,MATCH(C290,Calcoli!$A$7:$A$21,0)),0.26),2),0))))</f>
        <v/>
      </c>
      <c r="L290" s="135" t="str">
        <f>IF(B290="","",IF(B290="Acquisto",-(J290+N(G290)),J290-N(G290)-K290))</f>
        <v/>
      </c>
      <c r="M290" s="127" t="str">
        <f>IF(B290="","",IF(ISNA(MATCH(C290,ETF!$A$7:$A$21,0)),"ETF?",IF(NOT(ISNUMBER(A290)),"Data?",IF(AND(B290&lt;&gt;"Dividendo",N(D290)&lt;=0),"Quote?",IF(AND(B290="Vendita",N(D290)&gt;N(Q290)+0.000001),"Quote?",IF(J290&lt;=0,"Importo?","✓"))))))</f>
        <v/>
      </c>
      <c r="N290" t="str">
        <f>IF(OR(B290="Acquisto",B290="Vendita"),COUNTIFS($C$5:C290,C290,$B$5:B290,"Acquisto")+COUNTIFS($C$5:C290,C290,$B$5:B290,"Vendita"),"")</f>
        <v/>
      </c>
      <c r="O290" t="str">
        <f>IF(N290="","",C290&amp;"|"&amp;N290)</f>
        <v/>
      </c>
      <c r="P290" t="str">
        <f>IF(N290="","",IF(N290=1,0,MATCH(C290&amp;"|"&amp;(N290-1),$O$5:$O$1004,0)))</f>
        <v/>
      </c>
      <c r="Q290" t="str">
        <f>IF(N290="","",IF(P290=0,SUMIFS(Calcoli!$C$7:$C$21,Calcoli!$A$7:$A$21,C290),INDEX($S$5:$S$1004,P290)))</f>
        <v/>
      </c>
      <c r="R290" t="str">
        <f>IF(N290="","",IF(P290=0,SUMIFS(Calcoli!$D$7:$D$21,Calcoli!$A$7:$A$21,C290),INDEX($T$5:$T$1004,P290)))</f>
        <v/>
      </c>
      <c r="S290" t="str">
        <f>IF(N290="","",IF(B290="Acquisto",Q290+N(D290),MAX(0,Q290-N(D290))))</f>
        <v/>
      </c>
      <c r="T290" t="str">
        <f>IF(N290="","",IF(B290="Acquisto",R290+J290+N(G290),IF(Q290&lt;=0,0,R290*(1-MIN(1,N(D290)/Q290)))))</f>
        <v/>
      </c>
      <c r="U290" t="str">
        <f>IF(B290&lt;&gt;"Vendita","",J290-N(G290)-IF(Q290&lt;=0,0,R290*MIN(1,N(D290)/Q290)))</f>
        <v/>
      </c>
      <c r="V290" t="str">
        <f>IF(B290&lt;&gt;"Dividendo","",IF(Calcoli!$B$251=1,J290,L290))</f>
        <v/>
      </c>
      <c r="W290" t="str">
        <f>IF(AND(V290&lt;&gt;"",ISNUMBER(A290)),A290,"")</f>
        <v/>
      </c>
    </row>
    <row r="291">
      <c r="A291" s="134" t="n"/>
      <c r="B291" s="116" t="n"/>
      <c r="C291" s="116" t="n"/>
      <c r="D291" s="121" t="n"/>
      <c r="E291" s="120" t="n"/>
      <c r="F291" s="120" t="n"/>
      <c r="G291" s="120" t="n"/>
      <c r="H291" s="120" t="n"/>
      <c r="I291" s="117" t="n"/>
      <c r="J291" s="123" t="str">
        <f>IF(B291="","",IF(F291&lt;&gt;"",N(F291),ROUND(N(D291)*N(E291),2)))</f>
        <v/>
      </c>
      <c r="K291" s="123" t="str">
        <f>IF(B291="","",IF(H291&lt;&gt;"",N(H291),IF(B291="Dividendo",ROUND(J291*IFERROR(INDEX(Calcoli!$V$7:$V$21,MATCH(C291,Calcoli!$A$7:$A$21,0)),0.26),2),IF(B291="Vendita",ROUND(MAX(0,U291)*IFERROR(INDEX(Calcoli!$V$7:$V$21,MATCH(C291,Calcoli!$A$7:$A$21,0)),0.26),2),0))))</f>
        <v/>
      </c>
      <c r="L291" s="135" t="str">
        <f>IF(B291="","",IF(B291="Acquisto",-(J291+N(G291)),J291-N(G291)-K291))</f>
        <v/>
      </c>
      <c r="M291" s="127" t="str">
        <f>IF(B291="","",IF(ISNA(MATCH(C291,ETF!$A$7:$A$21,0)),"ETF?",IF(NOT(ISNUMBER(A291)),"Data?",IF(AND(B291&lt;&gt;"Dividendo",N(D291)&lt;=0),"Quote?",IF(AND(B291="Vendita",N(D291)&gt;N(Q291)+0.000001),"Quote?",IF(J291&lt;=0,"Importo?","✓"))))))</f>
        <v/>
      </c>
      <c r="N291" t="str">
        <f>IF(OR(B291="Acquisto",B291="Vendita"),COUNTIFS($C$5:C291,C291,$B$5:B291,"Acquisto")+COUNTIFS($C$5:C291,C291,$B$5:B291,"Vendita"),"")</f>
        <v/>
      </c>
      <c r="O291" t="str">
        <f>IF(N291="","",C291&amp;"|"&amp;N291)</f>
        <v/>
      </c>
      <c r="P291" t="str">
        <f>IF(N291="","",IF(N291=1,0,MATCH(C291&amp;"|"&amp;(N291-1),$O$5:$O$1004,0)))</f>
        <v/>
      </c>
      <c r="Q291" t="str">
        <f>IF(N291="","",IF(P291=0,SUMIFS(Calcoli!$C$7:$C$21,Calcoli!$A$7:$A$21,C291),INDEX($S$5:$S$1004,P291)))</f>
        <v/>
      </c>
      <c r="R291" t="str">
        <f>IF(N291="","",IF(P291=0,SUMIFS(Calcoli!$D$7:$D$21,Calcoli!$A$7:$A$21,C291),INDEX($T$5:$T$1004,P291)))</f>
        <v/>
      </c>
      <c r="S291" t="str">
        <f>IF(N291="","",IF(B291="Acquisto",Q291+N(D291),MAX(0,Q291-N(D291))))</f>
        <v/>
      </c>
      <c r="T291" t="str">
        <f>IF(N291="","",IF(B291="Acquisto",R291+J291+N(G291),IF(Q291&lt;=0,0,R291*(1-MIN(1,N(D291)/Q291)))))</f>
        <v/>
      </c>
      <c r="U291" t="str">
        <f>IF(B291&lt;&gt;"Vendita","",J291-N(G291)-IF(Q291&lt;=0,0,R291*MIN(1,N(D291)/Q291)))</f>
        <v/>
      </c>
      <c r="V291" t="str">
        <f>IF(B291&lt;&gt;"Dividendo","",IF(Calcoli!$B$251=1,J291,L291))</f>
        <v/>
      </c>
      <c r="W291" t="str">
        <f>IF(AND(V291&lt;&gt;"",ISNUMBER(A291)),A291,"")</f>
        <v/>
      </c>
    </row>
    <row r="292">
      <c r="A292" s="134" t="n"/>
      <c r="B292" s="116" t="n"/>
      <c r="C292" s="116" t="n"/>
      <c r="D292" s="121" t="n"/>
      <c r="E292" s="120" t="n"/>
      <c r="F292" s="120" t="n"/>
      <c r="G292" s="120" t="n"/>
      <c r="H292" s="120" t="n"/>
      <c r="I292" s="117" t="n"/>
      <c r="J292" s="123" t="str">
        <f>IF(B292="","",IF(F292&lt;&gt;"",N(F292),ROUND(N(D292)*N(E292),2)))</f>
        <v/>
      </c>
      <c r="K292" s="123" t="str">
        <f>IF(B292="","",IF(H292&lt;&gt;"",N(H292),IF(B292="Dividendo",ROUND(J292*IFERROR(INDEX(Calcoli!$V$7:$V$21,MATCH(C292,Calcoli!$A$7:$A$21,0)),0.26),2),IF(B292="Vendita",ROUND(MAX(0,U292)*IFERROR(INDEX(Calcoli!$V$7:$V$21,MATCH(C292,Calcoli!$A$7:$A$21,0)),0.26),2),0))))</f>
        <v/>
      </c>
      <c r="L292" s="135" t="str">
        <f>IF(B292="","",IF(B292="Acquisto",-(J292+N(G292)),J292-N(G292)-K292))</f>
        <v/>
      </c>
      <c r="M292" s="127" t="str">
        <f>IF(B292="","",IF(ISNA(MATCH(C292,ETF!$A$7:$A$21,0)),"ETF?",IF(NOT(ISNUMBER(A292)),"Data?",IF(AND(B292&lt;&gt;"Dividendo",N(D292)&lt;=0),"Quote?",IF(AND(B292="Vendita",N(D292)&gt;N(Q292)+0.000001),"Quote?",IF(J292&lt;=0,"Importo?","✓"))))))</f>
        <v/>
      </c>
      <c r="N292" t="str">
        <f>IF(OR(B292="Acquisto",B292="Vendita"),COUNTIFS($C$5:C292,C292,$B$5:B292,"Acquisto")+COUNTIFS($C$5:C292,C292,$B$5:B292,"Vendita"),"")</f>
        <v/>
      </c>
      <c r="O292" t="str">
        <f>IF(N292="","",C292&amp;"|"&amp;N292)</f>
        <v/>
      </c>
      <c r="P292" t="str">
        <f>IF(N292="","",IF(N292=1,0,MATCH(C292&amp;"|"&amp;(N292-1),$O$5:$O$1004,0)))</f>
        <v/>
      </c>
      <c r="Q292" t="str">
        <f>IF(N292="","",IF(P292=0,SUMIFS(Calcoli!$C$7:$C$21,Calcoli!$A$7:$A$21,C292),INDEX($S$5:$S$1004,P292)))</f>
        <v/>
      </c>
      <c r="R292" t="str">
        <f>IF(N292="","",IF(P292=0,SUMIFS(Calcoli!$D$7:$D$21,Calcoli!$A$7:$A$21,C292),INDEX($T$5:$T$1004,P292)))</f>
        <v/>
      </c>
      <c r="S292" t="str">
        <f>IF(N292="","",IF(B292="Acquisto",Q292+N(D292),MAX(0,Q292-N(D292))))</f>
        <v/>
      </c>
      <c r="T292" t="str">
        <f>IF(N292="","",IF(B292="Acquisto",R292+J292+N(G292),IF(Q292&lt;=0,0,R292*(1-MIN(1,N(D292)/Q292)))))</f>
        <v/>
      </c>
      <c r="U292" t="str">
        <f>IF(B292&lt;&gt;"Vendita","",J292-N(G292)-IF(Q292&lt;=0,0,R292*MIN(1,N(D292)/Q292)))</f>
        <v/>
      </c>
      <c r="V292" t="str">
        <f>IF(B292&lt;&gt;"Dividendo","",IF(Calcoli!$B$251=1,J292,L292))</f>
        <v/>
      </c>
      <c r="W292" t="str">
        <f>IF(AND(V292&lt;&gt;"",ISNUMBER(A292)),A292,"")</f>
        <v/>
      </c>
    </row>
    <row r="293">
      <c r="A293" s="134" t="n"/>
      <c r="B293" s="116" t="n"/>
      <c r="C293" s="116" t="n"/>
      <c r="D293" s="121" t="n"/>
      <c r="E293" s="120" t="n"/>
      <c r="F293" s="120" t="n"/>
      <c r="G293" s="120" t="n"/>
      <c r="H293" s="120" t="n"/>
      <c r="I293" s="117" t="n"/>
      <c r="J293" s="123" t="str">
        <f>IF(B293="","",IF(F293&lt;&gt;"",N(F293),ROUND(N(D293)*N(E293),2)))</f>
        <v/>
      </c>
      <c r="K293" s="123" t="str">
        <f>IF(B293="","",IF(H293&lt;&gt;"",N(H293),IF(B293="Dividendo",ROUND(J293*IFERROR(INDEX(Calcoli!$V$7:$V$21,MATCH(C293,Calcoli!$A$7:$A$21,0)),0.26),2),IF(B293="Vendita",ROUND(MAX(0,U293)*IFERROR(INDEX(Calcoli!$V$7:$V$21,MATCH(C293,Calcoli!$A$7:$A$21,0)),0.26),2),0))))</f>
        <v/>
      </c>
      <c r="L293" s="135" t="str">
        <f>IF(B293="","",IF(B293="Acquisto",-(J293+N(G293)),J293-N(G293)-K293))</f>
        <v/>
      </c>
      <c r="M293" s="127" t="str">
        <f>IF(B293="","",IF(ISNA(MATCH(C293,ETF!$A$7:$A$21,0)),"ETF?",IF(NOT(ISNUMBER(A293)),"Data?",IF(AND(B293&lt;&gt;"Dividendo",N(D293)&lt;=0),"Quote?",IF(AND(B293="Vendita",N(D293)&gt;N(Q293)+0.000001),"Quote?",IF(J293&lt;=0,"Importo?","✓"))))))</f>
        <v/>
      </c>
      <c r="N293" t="str">
        <f>IF(OR(B293="Acquisto",B293="Vendita"),COUNTIFS($C$5:C293,C293,$B$5:B293,"Acquisto")+COUNTIFS($C$5:C293,C293,$B$5:B293,"Vendita"),"")</f>
        <v/>
      </c>
      <c r="O293" t="str">
        <f>IF(N293="","",C293&amp;"|"&amp;N293)</f>
        <v/>
      </c>
      <c r="P293" t="str">
        <f>IF(N293="","",IF(N293=1,0,MATCH(C293&amp;"|"&amp;(N293-1),$O$5:$O$1004,0)))</f>
        <v/>
      </c>
      <c r="Q293" t="str">
        <f>IF(N293="","",IF(P293=0,SUMIFS(Calcoli!$C$7:$C$21,Calcoli!$A$7:$A$21,C293),INDEX($S$5:$S$1004,P293)))</f>
        <v/>
      </c>
      <c r="R293" t="str">
        <f>IF(N293="","",IF(P293=0,SUMIFS(Calcoli!$D$7:$D$21,Calcoli!$A$7:$A$21,C293),INDEX($T$5:$T$1004,P293)))</f>
        <v/>
      </c>
      <c r="S293" t="str">
        <f>IF(N293="","",IF(B293="Acquisto",Q293+N(D293),MAX(0,Q293-N(D293))))</f>
        <v/>
      </c>
      <c r="T293" t="str">
        <f>IF(N293="","",IF(B293="Acquisto",R293+J293+N(G293),IF(Q293&lt;=0,0,R293*(1-MIN(1,N(D293)/Q293)))))</f>
        <v/>
      </c>
      <c r="U293" t="str">
        <f>IF(B293&lt;&gt;"Vendita","",J293-N(G293)-IF(Q293&lt;=0,0,R293*MIN(1,N(D293)/Q293)))</f>
        <v/>
      </c>
      <c r="V293" t="str">
        <f>IF(B293&lt;&gt;"Dividendo","",IF(Calcoli!$B$251=1,J293,L293))</f>
        <v/>
      </c>
      <c r="W293" t="str">
        <f>IF(AND(V293&lt;&gt;"",ISNUMBER(A293)),A293,"")</f>
        <v/>
      </c>
    </row>
    <row r="294">
      <c r="A294" s="134" t="n"/>
      <c r="B294" s="116" t="n"/>
      <c r="C294" s="116" t="n"/>
      <c r="D294" s="121" t="n"/>
      <c r="E294" s="120" t="n"/>
      <c r="F294" s="120" t="n"/>
      <c r="G294" s="120" t="n"/>
      <c r="H294" s="120" t="n"/>
      <c r="I294" s="117" t="n"/>
      <c r="J294" s="123" t="str">
        <f>IF(B294="","",IF(F294&lt;&gt;"",N(F294),ROUND(N(D294)*N(E294),2)))</f>
        <v/>
      </c>
      <c r="K294" s="123" t="str">
        <f>IF(B294="","",IF(H294&lt;&gt;"",N(H294),IF(B294="Dividendo",ROUND(J294*IFERROR(INDEX(Calcoli!$V$7:$V$21,MATCH(C294,Calcoli!$A$7:$A$21,0)),0.26),2),IF(B294="Vendita",ROUND(MAX(0,U294)*IFERROR(INDEX(Calcoli!$V$7:$V$21,MATCH(C294,Calcoli!$A$7:$A$21,0)),0.26),2),0))))</f>
        <v/>
      </c>
      <c r="L294" s="135" t="str">
        <f>IF(B294="","",IF(B294="Acquisto",-(J294+N(G294)),J294-N(G294)-K294))</f>
        <v/>
      </c>
      <c r="M294" s="127" t="str">
        <f>IF(B294="","",IF(ISNA(MATCH(C294,ETF!$A$7:$A$21,0)),"ETF?",IF(NOT(ISNUMBER(A294)),"Data?",IF(AND(B294&lt;&gt;"Dividendo",N(D294)&lt;=0),"Quote?",IF(AND(B294="Vendita",N(D294)&gt;N(Q294)+0.000001),"Quote?",IF(J294&lt;=0,"Importo?","✓"))))))</f>
        <v/>
      </c>
      <c r="N294" t="str">
        <f>IF(OR(B294="Acquisto",B294="Vendita"),COUNTIFS($C$5:C294,C294,$B$5:B294,"Acquisto")+COUNTIFS($C$5:C294,C294,$B$5:B294,"Vendita"),"")</f>
        <v/>
      </c>
      <c r="O294" t="str">
        <f>IF(N294="","",C294&amp;"|"&amp;N294)</f>
        <v/>
      </c>
      <c r="P294" t="str">
        <f>IF(N294="","",IF(N294=1,0,MATCH(C294&amp;"|"&amp;(N294-1),$O$5:$O$1004,0)))</f>
        <v/>
      </c>
      <c r="Q294" t="str">
        <f>IF(N294="","",IF(P294=0,SUMIFS(Calcoli!$C$7:$C$21,Calcoli!$A$7:$A$21,C294),INDEX($S$5:$S$1004,P294)))</f>
        <v/>
      </c>
      <c r="R294" t="str">
        <f>IF(N294="","",IF(P294=0,SUMIFS(Calcoli!$D$7:$D$21,Calcoli!$A$7:$A$21,C294),INDEX($T$5:$T$1004,P294)))</f>
        <v/>
      </c>
      <c r="S294" t="str">
        <f>IF(N294="","",IF(B294="Acquisto",Q294+N(D294),MAX(0,Q294-N(D294))))</f>
        <v/>
      </c>
      <c r="T294" t="str">
        <f>IF(N294="","",IF(B294="Acquisto",R294+J294+N(G294),IF(Q294&lt;=0,0,R294*(1-MIN(1,N(D294)/Q294)))))</f>
        <v/>
      </c>
      <c r="U294" t="str">
        <f>IF(B294&lt;&gt;"Vendita","",J294-N(G294)-IF(Q294&lt;=0,0,R294*MIN(1,N(D294)/Q294)))</f>
        <v/>
      </c>
      <c r="V294" t="str">
        <f>IF(B294&lt;&gt;"Dividendo","",IF(Calcoli!$B$251=1,J294,L294))</f>
        <v/>
      </c>
      <c r="W294" t="str">
        <f>IF(AND(V294&lt;&gt;"",ISNUMBER(A294)),A294,"")</f>
        <v/>
      </c>
    </row>
    <row r="295">
      <c r="A295" s="134" t="n"/>
      <c r="B295" s="116" t="n"/>
      <c r="C295" s="116" t="n"/>
      <c r="D295" s="121" t="n"/>
      <c r="E295" s="120" t="n"/>
      <c r="F295" s="120" t="n"/>
      <c r="G295" s="120" t="n"/>
      <c r="H295" s="120" t="n"/>
      <c r="I295" s="117" t="n"/>
      <c r="J295" s="123" t="str">
        <f>IF(B295="","",IF(F295&lt;&gt;"",N(F295),ROUND(N(D295)*N(E295),2)))</f>
        <v/>
      </c>
      <c r="K295" s="123" t="str">
        <f>IF(B295="","",IF(H295&lt;&gt;"",N(H295),IF(B295="Dividendo",ROUND(J295*IFERROR(INDEX(Calcoli!$V$7:$V$21,MATCH(C295,Calcoli!$A$7:$A$21,0)),0.26),2),IF(B295="Vendita",ROUND(MAX(0,U295)*IFERROR(INDEX(Calcoli!$V$7:$V$21,MATCH(C295,Calcoli!$A$7:$A$21,0)),0.26),2),0))))</f>
        <v/>
      </c>
      <c r="L295" s="135" t="str">
        <f>IF(B295="","",IF(B295="Acquisto",-(J295+N(G295)),J295-N(G295)-K295))</f>
        <v/>
      </c>
      <c r="M295" s="127" t="str">
        <f>IF(B295="","",IF(ISNA(MATCH(C295,ETF!$A$7:$A$21,0)),"ETF?",IF(NOT(ISNUMBER(A295)),"Data?",IF(AND(B295&lt;&gt;"Dividendo",N(D295)&lt;=0),"Quote?",IF(AND(B295="Vendita",N(D295)&gt;N(Q295)+0.000001),"Quote?",IF(J295&lt;=0,"Importo?","✓"))))))</f>
        <v/>
      </c>
      <c r="N295" t="str">
        <f>IF(OR(B295="Acquisto",B295="Vendita"),COUNTIFS($C$5:C295,C295,$B$5:B295,"Acquisto")+COUNTIFS($C$5:C295,C295,$B$5:B295,"Vendita"),"")</f>
        <v/>
      </c>
      <c r="O295" t="str">
        <f>IF(N295="","",C295&amp;"|"&amp;N295)</f>
        <v/>
      </c>
      <c r="P295" t="str">
        <f>IF(N295="","",IF(N295=1,0,MATCH(C295&amp;"|"&amp;(N295-1),$O$5:$O$1004,0)))</f>
        <v/>
      </c>
      <c r="Q295" t="str">
        <f>IF(N295="","",IF(P295=0,SUMIFS(Calcoli!$C$7:$C$21,Calcoli!$A$7:$A$21,C295),INDEX($S$5:$S$1004,P295)))</f>
        <v/>
      </c>
      <c r="R295" t="str">
        <f>IF(N295="","",IF(P295=0,SUMIFS(Calcoli!$D$7:$D$21,Calcoli!$A$7:$A$21,C295),INDEX($T$5:$T$1004,P295)))</f>
        <v/>
      </c>
      <c r="S295" t="str">
        <f>IF(N295="","",IF(B295="Acquisto",Q295+N(D295),MAX(0,Q295-N(D295))))</f>
        <v/>
      </c>
      <c r="T295" t="str">
        <f>IF(N295="","",IF(B295="Acquisto",R295+J295+N(G295),IF(Q295&lt;=0,0,R295*(1-MIN(1,N(D295)/Q295)))))</f>
        <v/>
      </c>
      <c r="U295" t="str">
        <f>IF(B295&lt;&gt;"Vendita","",J295-N(G295)-IF(Q295&lt;=0,0,R295*MIN(1,N(D295)/Q295)))</f>
        <v/>
      </c>
      <c r="V295" t="str">
        <f>IF(B295&lt;&gt;"Dividendo","",IF(Calcoli!$B$251=1,J295,L295))</f>
        <v/>
      </c>
      <c r="W295" t="str">
        <f>IF(AND(V295&lt;&gt;"",ISNUMBER(A295)),A295,"")</f>
        <v/>
      </c>
    </row>
    <row r="296">
      <c r="A296" s="134" t="n"/>
      <c r="B296" s="116" t="n"/>
      <c r="C296" s="116" t="n"/>
      <c r="D296" s="121" t="n"/>
      <c r="E296" s="120" t="n"/>
      <c r="F296" s="120" t="n"/>
      <c r="G296" s="120" t="n"/>
      <c r="H296" s="120" t="n"/>
      <c r="I296" s="117" t="n"/>
      <c r="J296" s="123" t="str">
        <f>IF(B296="","",IF(F296&lt;&gt;"",N(F296),ROUND(N(D296)*N(E296),2)))</f>
        <v/>
      </c>
      <c r="K296" s="123" t="str">
        <f>IF(B296="","",IF(H296&lt;&gt;"",N(H296),IF(B296="Dividendo",ROUND(J296*IFERROR(INDEX(Calcoli!$V$7:$V$21,MATCH(C296,Calcoli!$A$7:$A$21,0)),0.26),2),IF(B296="Vendita",ROUND(MAX(0,U296)*IFERROR(INDEX(Calcoli!$V$7:$V$21,MATCH(C296,Calcoli!$A$7:$A$21,0)),0.26),2),0))))</f>
        <v/>
      </c>
      <c r="L296" s="135" t="str">
        <f>IF(B296="","",IF(B296="Acquisto",-(J296+N(G296)),J296-N(G296)-K296))</f>
        <v/>
      </c>
      <c r="M296" s="127" t="str">
        <f>IF(B296="","",IF(ISNA(MATCH(C296,ETF!$A$7:$A$21,0)),"ETF?",IF(NOT(ISNUMBER(A296)),"Data?",IF(AND(B296&lt;&gt;"Dividendo",N(D296)&lt;=0),"Quote?",IF(AND(B296="Vendita",N(D296)&gt;N(Q296)+0.000001),"Quote?",IF(J296&lt;=0,"Importo?","✓"))))))</f>
        <v/>
      </c>
      <c r="N296" t="str">
        <f>IF(OR(B296="Acquisto",B296="Vendita"),COUNTIFS($C$5:C296,C296,$B$5:B296,"Acquisto")+COUNTIFS($C$5:C296,C296,$B$5:B296,"Vendita"),"")</f>
        <v/>
      </c>
      <c r="O296" t="str">
        <f>IF(N296="","",C296&amp;"|"&amp;N296)</f>
        <v/>
      </c>
      <c r="P296" t="str">
        <f>IF(N296="","",IF(N296=1,0,MATCH(C296&amp;"|"&amp;(N296-1),$O$5:$O$1004,0)))</f>
        <v/>
      </c>
      <c r="Q296" t="str">
        <f>IF(N296="","",IF(P296=0,SUMIFS(Calcoli!$C$7:$C$21,Calcoli!$A$7:$A$21,C296),INDEX($S$5:$S$1004,P296)))</f>
        <v/>
      </c>
      <c r="R296" t="str">
        <f>IF(N296="","",IF(P296=0,SUMIFS(Calcoli!$D$7:$D$21,Calcoli!$A$7:$A$21,C296),INDEX($T$5:$T$1004,P296)))</f>
        <v/>
      </c>
      <c r="S296" t="str">
        <f>IF(N296="","",IF(B296="Acquisto",Q296+N(D296),MAX(0,Q296-N(D296))))</f>
        <v/>
      </c>
      <c r="T296" t="str">
        <f>IF(N296="","",IF(B296="Acquisto",R296+J296+N(G296),IF(Q296&lt;=0,0,R296*(1-MIN(1,N(D296)/Q296)))))</f>
        <v/>
      </c>
      <c r="U296" t="str">
        <f>IF(B296&lt;&gt;"Vendita","",J296-N(G296)-IF(Q296&lt;=0,0,R296*MIN(1,N(D296)/Q296)))</f>
        <v/>
      </c>
      <c r="V296" t="str">
        <f>IF(B296&lt;&gt;"Dividendo","",IF(Calcoli!$B$251=1,J296,L296))</f>
        <v/>
      </c>
      <c r="W296" t="str">
        <f>IF(AND(V296&lt;&gt;"",ISNUMBER(A296)),A296,"")</f>
        <v/>
      </c>
    </row>
    <row r="297">
      <c r="A297" s="134" t="n"/>
      <c r="B297" s="116" t="n"/>
      <c r="C297" s="116" t="n"/>
      <c r="D297" s="121" t="n"/>
      <c r="E297" s="120" t="n"/>
      <c r="F297" s="120" t="n"/>
      <c r="G297" s="120" t="n"/>
      <c r="H297" s="120" t="n"/>
      <c r="I297" s="117" t="n"/>
      <c r="J297" s="123" t="str">
        <f>IF(B297="","",IF(F297&lt;&gt;"",N(F297),ROUND(N(D297)*N(E297),2)))</f>
        <v/>
      </c>
      <c r="K297" s="123" t="str">
        <f>IF(B297="","",IF(H297&lt;&gt;"",N(H297),IF(B297="Dividendo",ROUND(J297*IFERROR(INDEX(Calcoli!$V$7:$V$21,MATCH(C297,Calcoli!$A$7:$A$21,0)),0.26),2),IF(B297="Vendita",ROUND(MAX(0,U297)*IFERROR(INDEX(Calcoli!$V$7:$V$21,MATCH(C297,Calcoli!$A$7:$A$21,0)),0.26),2),0))))</f>
        <v/>
      </c>
      <c r="L297" s="135" t="str">
        <f>IF(B297="","",IF(B297="Acquisto",-(J297+N(G297)),J297-N(G297)-K297))</f>
        <v/>
      </c>
      <c r="M297" s="127" t="str">
        <f>IF(B297="","",IF(ISNA(MATCH(C297,ETF!$A$7:$A$21,0)),"ETF?",IF(NOT(ISNUMBER(A297)),"Data?",IF(AND(B297&lt;&gt;"Dividendo",N(D297)&lt;=0),"Quote?",IF(AND(B297="Vendita",N(D297)&gt;N(Q297)+0.000001),"Quote?",IF(J297&lt;=0,"Importo?","✓"))))))</f>
        <v/>
      </c>
      <c r="N297" t="str">
        <f>IF(OR(B297="Acquisto",B297="Vendita"),COUNTIFS($C$5:C297,C297,$B$5:B297,"Acquisto")+COUNTIFS($C$5:C297,C297,$B$5:B297,"Vendita"),"")</f>
        <v/>
      </c>
      <c r="O297" t="str">
        <f>IF(N297="","",C297&amp;"|"&amp;N297)</f>
        <v/>
      </c>
      <c r="P297" t="str">
        <f>IF(N297="","",IF(N297=1,0,MATCH(C297&amp;"|"&amp;(N297-1),$O$5:$O$1004,0)))</f>
        <v/>
      </c>
      <c r="Q297" t="str">
        <f>IF(N297="","",IF(P297=0,SUMIFS(Calcoli!$C$7:$C$21,Calcoli!$A$7:$A$21,C297),INDEX($S$5:$S$1004,P297)))</f>
        <v/>
      </c>
      <c r="R297" t="str">
        <f>IF(N297="","",IF(P297=0,SUMIFS(Calcoli!$D$7:$D$21,Calcoli!$A$7:$A$21,C297),INDEX($T$5:$T$1004,P297)))</f>
        <v/>
      </c>
      <c r="S297" t="str">
        <f>IF(N297="","",IF(B297="Acquisto",Q297+N(D297),MAX(0,Q297-N(D297))))</f>
        <v/>
      </c>
      <c r="T297" t="str">
        <f>IF(N297="","",IF(B297="Acquisto",R297+J297+N(G297),IF(Q297&lt;=0,0,R297*(1-MIN(1,N(D297)/Q297)))))</f>
        <v/>
      </c>
      <c r="U297" t="str">
        <f>IF(B297&lt;&gt;"Vendita","",J297-N(G297)-IF(Q297&lt;=0,0,R297*MIN(1,N(D297)/Q297)))</f>
        <v/>
      </c>
      <c r="V297" t="str">
        <f>IF(B297&lt;&gt;"Dividendo","",IF(Calcoli!$B$251=1,J297,L297))</f>
        <v/>
      </c>
      <c r="W297" t="str">
        <f>IF(AND(V297&lt;&gt;"",ISNUMBER(A297)),A297,"")</f>
        <v/>
      </c>
    </row>
    <row r="298">
      <c r="A298" s="134" t="n"/>
      <c r="B298" s="116" t="n"/>
      <c r="C298" s="116" t="n"/>
      <c r="D298" s="121" t="n"/>
      <c r="E298" s="120" t="n"/>
      <c r="F298" s="120" t="n"/>
      <c r="G298" s="120" t="n"/>
      <c r="H298" s="120" t="n"/>
      <c r="I298" s="117" t="n"/>
      <c r="J298" s="123" t="str">
        <f>IF(B298="","",IF(F298&lt;&gt;"",N(F298),ROUND(N(D298)*N(E298),2)))</f>
        <v/>
      </c>
      <c r="K298" s="123" t="str">
        <f>IF(B298="","",IF(H298&lt;&gt;"",N(H298),IF(B298="Dividendo",ROUND(J298*IFERROR(INDEX(Calcoli!$V$7:$V$21,MATCH(C298,Calcoli!$A$7:$A$21,0)),0.26),2),IF(B298="Vendita",ROUND(MAX(0,U298)*IFERROR(INDEX(Calcoli!$V$7:$V$21,MATCH(C298,Calcoli!$A$7:$A$21,0)),0.26),2),0))))</f>
        <v/>
      </c>
      <c r="L298" s="135" t="str">
        <f>IF(B298="","",IF(B298="Acquisto",-(J298+N(G298)),J298-N(G298)-K298))</f>
        <v/>
      </c>
      <c r="M298" s="127" t="str">
        <f>IF(B298="","",IF(ISNA(MATCH(C298,ETF!$A$7:$A$21,0)),"ETF?",IF(NOT(ISNUMBER(A298)),"Data?",IF(AND(B298&lt;&gt;"Dividendo",N(D298)&lt;=0),"Quote?",IF(AND(B298="Vendita",N(D298)&gt;N(Q298)+0.000001),"Quote?",IF(J298&lt;=0,"Importo?","✓"))))))</f>
        <v/>
      </c>
      <c r="N298" t="str">
        <f>IF(OR(B298="Acquisto",B298="Vendita"),COUNTIFS($C$5:C298,C298,$B$5:B298,"Acquisto")+COUNTIFS($C$5:C298,C298,$B$5:B298,"Vendita"),"")</f>
        <v/>
      </c>
      <c r="O298" t="str">
        <f>IF(N298="","",C298&amp;"|"&amp;N298)</f>
        <v/>
      </c>
      <c r="P298" t="str">
        <f>IF(N298="","",IF(N298=1,0,MATCH(C298&amp;"|"&amp;(N298-1),$O$5:$O$1004,0)))</f>
        <v/>
      </c>
      <c r="Q298" t="str">
        <f>IF(N298="","",IF(P298=0,SUMIFS(Calcoli!$C$7:$C$21,Calcoli!$A$7:$A$21,C298),INDEX($S$5:$S$1004,P298)))</f>
        <v/>
      </c>
      <c r="R298" t="str">
        <f>IF(N298="","",IF(P298=0,SUMIFS(Calcoli!$D$7:$D$21,Calcoli!$A$7:$A$21,C298),INDEX($T$5:$T$1004,P298)))</f>
        <v/>
      </c>
      <c r="S298" t="str">
        <f>IF(N298="","",IF(B298="Acquisto",Q298+N(D298),MAX(0,Q298-N(D298))))</f>
        <v/>
      </c>
      <c r="T298" t="str">
        <f>IF(N298="","",IF(B298="Acquisto",R298+J298+N(G298),IF(Q298&lt;=0,0,R298*(1-MIN(1,N(D298)/Q298)))))</f>
        <v/>
      </c>
      <c r="U298" t="str">
        <f>IF(B298&lt;&gt;"Vendita","",J298-N(G298)-IF(Q298&lt;=0,0,R298*MIN(1,N(D298)/Q298)))</f>
        <v/>
      </c>
      <c r="V298" t="str">
        <f>IF(B298&lt;&gt;"Dividendo","",IF(Calcoli!$B$251=1,J298,L298))</f>
        <v/>
      </c>
      <c r="W298" t="str">
        <f>IF(AND(V298&lt;&gt;"",ISNUMBER(A298)),A298,"")</f>
        <v/>
      </c>
    </row>
    <row r="299">
      <c r="A299" s="134" t="n"/>
      <c r="B299" s="116" t="n"/>
      <c r="C299" s="116" t="n"/>
      <c r="D299" s="121" t="n"/>
      <c r="E299" s="120" t="n"/>
      <c r="F299" s="120" t="n"/>
      <c r="G299" s="120" t="n"/>
      <c r="H299" s="120" t="n"/>
      <c r="I299" s="117" t="n"/>
      <c r="J299" s="123" t="str">
        <f>IF(B299="","",IF(F299&lt;&gt;"",N(F299),ROUND(N(D299)*N(E299),2)))</f>
        <v/>
      </c>
      <c r="K299" s="123" t="str">
        <f>IF(B299="","",IF(H299&lt;&gt;"",N(H299),IF(B299="Dividendo",ROUND(J299*IFERROR(INDEX(Calcoli!$V$7:$V$21,MATCH(C299,Calcoli!$A$7:$A$21,0)),0.26),2),IF(B299="Vendita",ROUND(MAX(0,U299)*IFERROR(INDEX(Calcoli!$V$7:$V$21,MATCH(C299,Calcoli!$A$7:$A$21,0)),0.26),2),0))))</f>
        <v/>
      </c>
      <c r="L299" s="135" t="str">
        <f>IF(B299="","",IF(B299="Acquisto",-(J299+N(G299)),J299-N(G299)-K299))</f>
        <v/>
      </c>
      <c r="M299" s="127" t="str">
        <f>IF(B299="","",IF(ISNA(MATCH(C299,ETF!$A$7:$A$21,0)),"ETF?",IF(NOT(ISNUMBER(A299)),"Data?",IF(AND(B299&lt;&gt;"Dividendo",N(D299)&lt;=0),"Quote?",IF(AND(B299="Vendita",N(D299)&gt;N(Q299)+0.000001),"Quote?",IF(J299&lt;=0,"Importo?","✓"))))))</f>
        <v/>
      </c>
      <c r="N299" t="str">
        <f>IF(OR(B299="Acquisto",B299="Vendita"),COUNTIFS($C$5:C299,C299,$B$5:B299,"Acquisto")+COUNTIFS($C$5:C299,C299,$B$5:B299,"Vendita"),"")</f>
        <v/>
      </c>
      <c r="O299" t="str">
        <f>IF(N299="","",C299&amp;"|"&amp;N299)</f>
        <v/>
      </c>
      <c r="P299" t="str">
        <f>IF(N299="","",IF(N299=1,0,MATCH(C299&amp;"|"&amp;(N299-1),$O$5:$O$1004,0)))</f>
        <v/>
      </c>
      <c r="Q299" t="str">
        <f>IF(N299="","",IF(P299=0,SUMIFS(Calcoli!$C$7:$C$21,Calcoli!$A$7:$A$21,C299),INDEX($S$5:$S$1004,P299)))</f>
        <v/>
      </c>
      <c r="R299" t="str">
        <f>IF(N299="","",IF(P299=0,SUMIFS(Calcoli!$D$7:$D$21,Calcoli!$A$7:$A$21,C299),INDEX($T$5:$T$1004,P299)))</f>
        <v/>
      </c>
      <c r="S299" t="str">
        <f>IF(N299="","",IF(B299="Acquisto",Q299+N(D299),MAX(0,Q299-N(D299))))</f>
        <v/>
      </c>
      <c r="T299" t="str">
        <f>IF(N299="","",IF(B299="Acquisto",R299+J299+N(G299),IF(Q299&lt;=0,0,R299*(1-MIN(1,N(D299)/Q299)))))</f>
        <v/>
      </c>
      <c r="U299" t="str">
        <f>IF(B299&lt;&gt;"Vendita","",J299-N(G299)-IF(Q299&lt;=0,0,R299*MIN(1,N(D299)/Q299)))</f>
        <v/>
      </c>
      <c r="V299" t="str">
        <f>IF(B299&lt;&gt;"Dividendo","",IF(Calcoli!$B$251=1,J299,L299))</f>
        <v/>
      </c>
      <c r="W299" t="str">
        <f>IF(AND(V299&lt;&gt;"",ISNUMBER(A299)),A299,"")</f>
        <v/>
      </c>
    </row>
    <row r="300">
      <c r="A300" s="134" t="n"/>
      <c r="B300" s="116" t="n"/>
      <c r="C300" s="116" t="n"/>
      <c r="D300" s="121" t="n"/>
      <c r="E300" s="120" t="n"/>
      <c r="F300" s="120" t="n"/>
      <c r="G300" s="120" t="n"/>
      <c r="H300" s="120" t="n"/>
      <c r="I300" s="117" t="n"/>
      <c r="J300" s="123" t="str">
        <f>IF(B300="","",IF(F300&lt;&gt;"",N(F300),ROUND(N(D300)*N(E300),2)))</f>
        <v/>
      </c>
      <c r="K300" s="123" t="str">
        <f>IF(B300="","",IF(H300&lt;&gt;"",N(H300),IF(B300="Dividendo",ROUND(J300*IFERROR(INDEX(Calcoli!$V$7:$V$21,MATCH(C300,Calcoli!$A$7:$A$21,0)),0.26),2),IF(B300="Vendita",ROUND(MAX(0,U300)*IFERROR(INDEX(Calcoli!$V$7:$V$21,MATCH(C300,Calcoli!$A$7:$A$21,0)),0.26),2),0))))</f>
        <v/>
      </c>
      <c r="L300" s="135" t="str">
        <f>IF(B300="","",IF(B300="Acquisto",-(J300+N(G300)),J300-N(G300)-K300))</f>
        <v/>
      </c>
      <c r="M300" s="127" t="str">
        <f>IF(B300="","",IF(ISNA(MATCH(C300,ETF!$A$7:$A$21,0)),"ETF?",IF(NOT(ISNUMBER(A300)),"Data?",IF(AND(B300&lt;&gt;"Dividendo",N(D300)&lt;=0),"Quote?",IF(AND(B300="Vendita",N(D300)&gt;N(Q300)+0.000001),"Quote?",IF(J300&lt;=0,"Importo?","✓"))))))</f>
        <v/>
      </c>
      <c r="N300" t="str">
        <f>IF(OR(B300="Acquisto",B300="Vendita"),COUNTIFS($C$5:C300,C300,$B$5:B300,"Acquisto")+COUNTIFS($C$5:C300,C300,$B$5:B300,"Vendita"),"")</f>
        <v/>
      </c>
      <c r="O300" t="str">
        <f>IF(N300="","",C300&amp;"|"&amp;N300)</f>
        <v/>
      </c>
      <c r="P300" t="str">
        <f>IF(N300="","",IF(N300=1,0,MATCH(C300&amp;"|"&amp;(N300-1),$O$5:$O$1004,0)))</f>
        <v/>
      </c>
      <c r="Q300" t="str">
        <f>IF(N300="","",IF(P300=0,SUMIFS(Calcoli!$C$7:$C$21,Calcoli!$A$7:$A$21,C300),INDEX($S$5:$S$1004,P300)))</f>
        <v/>
      </c>
      <c r="R300" t="str">
        <f>IF(N300="","",IF(P300=0,SUMIFS(Calcoli!$D$7:$D$21,Calcoli!$A$7:$A$21,C300),INDEX($T$5:$T$1004,P300)))</f>
        <v/>
      </c>
      <c r="S300" t="str">
        <f>IF(N300="","",IF(B300="Acquisto",Q300+N(D300),MAX(0,Q300-N(D300))))</f>
        <v/>
      </c>
      <c r="T300" t="str">
        <f>IF(N300="","",IF(B300="Acquisto",R300+J300+N(G300),IF(Q300&lt;=0,0,R300*(1-MIN(1,N(D300)/Q300)))))</f>
        <v/>
      </c>
      <c r="U300" t="str">
        <f>IF(B300&lt;&gt;"Vendita","",J300-N(G300)-IF(Q300&lt;=0,0,R300*MIN(1,N(D300)/Q300)))</f>
        <v/>
      </c>
      <c r="V300" t="str">
        <f>IF(B300&lt;&gt;"Dividendo","",IF(Calcoli!$B$251=1,J300,L300))</f>
        <v/>
      </c>
      <c r="W300" t="str">
        <f>IF(AND(V300&lt;&gt;"",ISNUMBER(A300)),A300,"")</f>
        <v/>
      </c>
    </row>
    <row r="301">
      <c r="A301" s="134" t="n"/>
      <c r="B301" s="116" t="n"/>
      <c r="C301" s="116" t="n"/>
      <c r="D301" s="121" t="n"/>
      <c r="E301" s="120" t="n"/>
      <c r="F301" s="120" t="n"/>
      <c r="G301" s="120" t="n"/>
      <c r="H301" s="120" t="n"/>
      <c r="I301" s="117" t="n"/>
      <c r="J301" s="123" t="str">
        <f>IF(B301="","",IF(F301&lt;&gt;"",N(F301),ROUND(N(D301)*N(E301),2)))</f>
        <v/>
      </c>
      <c r="K301" s="123" t="str">
        <f>IF(B301="","",IF(H301&lt;&gt;"",N(H301),IF(B301="Dividendo",ROUND(J301*IFERROR(INDEX(Calcoli!$V$7:$V$21,MATCH(C301,Calcoli!$A$7:$A$21,0)),0.26),2),IF(B301="Vendita",ROUND(MAX(0,U301)*IFERROR(INDEX(Calcoli!$V$7:$V$21,MATCH(C301,Calcoli!$A$7:$A$21,0)),0.26),2),0))))</f>
        <v/>
      </c>
      <c r="L301" s="135" t="str">
        <f>IF(B301="","",IF(B301="Acquisto",-(J301+N(G301)),J301-N(G301)-K301))</f>
        <v/>
      </c>
      <c r="M301" s="127" t="str">
        <f>IF(B301="","",IF(ISNA(MATCH(C301,ETF!$A$7:$A$21,0)),"ETF?",IF(NOT(ISNUMBER(A301)),"Data?",IF(AND(B301&lt;&gt;"Dividendo",N(D301)&lt;=0),"Quote?",IF(AND(B301="Vendita",N(D301)&gt;N(Q301)+0.000001),"Quote?",IF(J301&lt;=0,"Importo?","✓"))))))</f>
        <v/>
      </c>
      <c r="N301" t="str">
        <f>IF(OR(B301="Acquisto",B301="Vendita"),COUNTIFS($C$5:C301,C301,$B$5:B301,"Acquisto")+COUNTIFS($C$5:C301,C301,$B$5:B301,"Vendita"),"")</f>
        <v/>
      </c>
      <c r="O301" t="str">
        <f>IF(N301="","",C301&amp;"|"&amp;N301)</f>
        <v/>
      </c>
      <c r="P301" t="str">
        <f>IF(N301="","",IF(N301=1,0,MATCH(C301&amp;"|"&amp;(N301-1),$O$5:$O$1004,0)))</f>
        <v/>
      </c>
      <c r="Q301" t="str">
        <f>IF(N301="","",IF(P301=0,SUMIFS(Calcoli!$C$7:$C$21,Calcoli!$A$7:$A$21,C301),INDEX($S$5:$S$1004,P301)))</f>
        <v/>
      </c>
      <c r="R301" t="str">
        <f>IF(N301="","",IF(P301=0,SUMIFS(Calcoli!$D$7:$D$21,Calcoli!$A$7:$A$21,C301),INDEX($T$5:$T$1004,P301)))</f>
        <v/>
      </c>
      <c r="S301" t="str">
        <f>IF(N301="","",IF(B301="Acquisto",Q301+N(D301),MAX(0,Q301-N(D301))))</f>
        <v/>
      </c>
      <c r="T301" t="str">
        <f>IF(N301="","",IF(B301="Acquisto",R301+J301+N(G301),IF(Q301&lt;=0,0,R301*(1-MIN(1,N(D301)/Q301)))))</f>
        <v/>
      </c>
      <c r="U301" t="str">
        <f>IF(B301&lt;&gt;"Vendita","",J301-N(G301)-IF(Q301&lt;=0,0,R301*MIN(1,N(D301)/Q301)))</f>
        <v/>
      </c>
      <c r="V301" t="str">
        <f>IF(B301&lt;&gt;"Dividendo","",IF(Calcoli!$B$251=1,J301,L301))</f>
        <v/>
      </c>
      <c r="W301" t="str">
        <f>IF(AND(V301&lt;&gt;"",ISNUMBER(A301)),A301,"")</f>
        <v/>
      </c>
    </row>
    <row r="302">
      <c r="A302" s="134" t="n"/>
      <c r="B302" s="116" t="n"/>
      <c r="C302" s="116" t="n"/>
      <c r="D302" s="121" t="n"/>
      <c r="E302" s="120" t="n"/>
      <c r="F302" s="120" t="n"/>
      <c r="G302" s="120" t="n"/>
      <c r="H302" s="120" t="n"/>
      <c r="I302" s="117" t="n"/>
      <c r="J302" s="123" t="str">
        <f>IF(B302="","",IF(F302&lt;&gt;"",N(F302),ROUND(N(D302)*N(E302),2)))</f>
        <v/>
      </c>
      <c r="K302" s="123" t="str">
        <f>IF(B302="","",IF(H302&lt;&gt;"",N(H302),IF(B302="Dividendo",ROUND(J302*IFERROR(INDEX(Calcoli!$V$7:$V$21,MATCH(C302,Calcoli!$A$7:$A$21,0)),0.26),2),IF(B302="Vendita",ROUND(MAX(0,U302)*IFERROR(INDEX(Calcoli!$V$7:$V$21,MATCH(C302,Calcoli!$A$7:$A$21,0)),0.26),2),0))))</f>
        <v/>
      </c>
      <c r="L302" s="135" t="str">
        <f>IF(B302="","",IF(B302="Acquisto",-(J302+N(G302)),J302-N(G302)-K302))</f>
        <v/>
      </c>
      <c r="M302" s="127" t="str">
        <f>IF(B302="","",IF(ISNA(MATCH(C302,ETF!$A$7:$A$21,0)),"ETF?",IF(NOT(ISNUMBER(A302)),"Data?",IF(AND(B302&lt;&gt;"Dividendo",N(D302)&lt;=0),"Quote?",IF(AND(B302="Vendita",N(D302)&gt;N(Q302)+0.000001),"Quote?",IF(J302&lt;=0,"Importo?","✓"))))))</f>
        <v/>
      </c>
      <c r="N302" t="str">
        <f>IF(OR(B302="Acquisto",B302="Vendita"),COUNTIFS($C$5:C302,C302,$B$5:B302,"Acquisto")+COUNTIFS($C$5:C302,C302,$B$5:B302,"Vendita"),"")</f>
        <v/>
      </c>
      <c r="O302" t="str">
        <f>IF(N302="","",C302&amp;"|"&amp;N302)</f>
        <v/>
      </c>
      <c r="P302" t="str">
        <f>IF(N302="","",IF(N302=1,0,MATCH(C302&amp;"|"&amp;(N302-1),$O$5:$O$1004,0)))</f>
        <v/>
      </c>
      <c r="Q302" t="str">
        <f>IF(N302="","",IF(P302=0,SUMIFS(Calcoli!$C$7:$C$21,Calcoli!$A$7:$A$21,C302),INDEX($S$5:$S$1004,P302)))</f>
        <v/>
      </c>
      <c r="R302" t="str">
        <f>IF(N302="","",IF(P302=0,SUMIFS(Calcoli!$D$7:$D$21,Calcoli!$A$7:$A$21,C302),INDEX($T$5:$T$1004,P302)))</f>
        <v/>
      </c>
      <c r="S302" t="str">
        <f>IF(N302="","",IF(B302="Acquisto",Q302+N(D302),MAX(0,Q302-N(D302))))</f>
        <v/>
      </c>
      <c r="T302" t="str">
        <f>IF(N302="","",IF(B302="Acquisto",R302+J302+N(G302),IF(Q302&lt;=0,0,R302*(1-MIN(1,N(D302)/Q302)))))</f>
        <v/>
      </c>
      <c r="U302" t="str">
        <f>IF(B302&lt;&gt;"Vendita","",J302-N(G302)-IF(Q302&lt;=0,0,R302*MIN(1,N(D302)/Q302)))</f>
        <v/>
      </c>
      <c r="V302" t="str">
        <f>IF(B302&lt;&gt;"Dividendo","",IF(Calcoli!$B$251=1,J302,L302))</f>
        <v/>
      </c>
      <c r="W302" t="str">
        <f>IF(AND(V302&lt;&gt;"",ISNUMBER(A302)),A302,"")</f>
        <v/>
      </c>
    </row>
    <row r="303">
      <c r="A303" s="134" t="n"/>
      <c r="B303" s="116" t="n"/>
      <c r="C303" s="116" t="n"/>
      <c r="D303" s="121" t="n"/>
      <c r="E303" s="120" t="n"/>
      <c r="F303" s="120" t="n"/>
      <c r="G303" s="120" t="n"/>
      <c r="H303" s="120" t="n"/>
      <c r="I303" s="117" t="n"/>
      <c r="J303" s="123" t="str">
        <f>IF(B303="","",IF(F303&lt;&gt;"",N(F303),ROUND(N(D303)*N(E303),2)))</f>
        <v/>
      </c>
      <c r="K303" s="123" t="str">
        <f>IF(B303="","",IF(H303&lt;&gt;"",N(H303),IF(B303="Dividendo",ROUND(J303*IFERROR(INDEX(Calcoli!$V$7:$V$21,MATCH(C303,Calcoli!$A$7:$A$21,0)),0.26),2),IF(B303="Vendita",ROUND(MAX(0,U303)*IFERROR(INDEX(Calcoli!$V$7:$V$21,MATCH(C303,Calcoli!$A$7:$A$21,0)),0.26),2),0))))</f>
        <v/>
      </c>
      <c r="L303" s="135" t="str">
        <f>IF(B303="","",IF(B303="Acquisto",-(J303+N(G303)),J303-N(G303)-K303))</f>
        <v/>
      </c>
      <c r="M303" s="127" t="str">
        <f>IF(B303="","",IF(ISNA(MATCH(C303,ETF!$A$7:$A$21,0)),"ETF?",IF(NOT(ISNUMBER(A303)),"Data?",IF(AND(B303&lt;&gt;"Dividendo",N(D303)&lt;=0),"Quote?",IF(AND(B303="Vendita",N(D303)&gt;N(Q303)+0.000001),"Quote?",IF(J303&lt;=0,"Importo?","✓"))))))</f>
        <v/>
      </c>
      <c r="N303" t="str">
        <f>IF(OR(B303="Acquisto",B303="Vendita"),COUNTIFS($C$5:C303,C303,$B$5:B303,"Acquisto")+COUNTIFS($C$5:C303,C303,$B$5:B303,"Vendita"),"")</f>
        <v/>
      </c>
      <c r="O303" t="str">
        <f>IF(N303="","",C303&amp;"|"&amp;N303)</f>
        <v/>
      </c>
      <c r="P303" t="str">
        <f>IF(N303="","",IF(N303=1,0,MATCH(C303&amp;"|"&amp;(N303-1),$O$5:$O$1004,0)))</f>
        <v/>
      </c>
      <c r="Q303" t="str">
        <f>IF(N303="","",IF(P303=0,SUMIFS(Calcoli!$C$7:$C$21,Calcoli!$A$7:$A$21,C303),INDEX($S$5:$S$1004,P303)))</f>
        <v/>
      </c>
      <c r="R303" t="str">
        <f>IF(N303="","",IF(P303=0,SUMIFS(Calcoli!$D$7:$D$21,Calcoli!$A$7:$A$21,C303),INDEX($T$5:$T$1004,P303)))</f>
        <v/>
      </c>
      <c r="S303" t="str">
        <f>IF(N303="","",IF(B303="Acquisto",Q303+N(D303),MAX(0,Q303-N(D303))))</f>
        <v/>
      </c>
      <c r="T303" t="str">
        <f>IF(N303="","",IF(B303="Acquisto",R303+J303+N(G303),IF(Q303&lt;=0,0,R303*(1-MIN(1,N(D303)/Q303)))))</f>
        <v/>
      </c>
      <c r="U303" t="str">
        <f>IF(B303&lt;&gt;"Vendita","",J303-N(G303)-IF(Q303&lt;=0,0,R303*MIN(1,N(D303)/Q303)))</f>
        <v/>
      </c>
      <c r="V303" t="str">
        <f>IF(B303&lt;&gt;"Dividendo","",IF(Calcoli!$B$251=1,J303,L303))</f>
        <v/>
      </c>
      <c r="W303" t="str">
        <f>IF(AND(V303&lt;&gt;"",ISNUMBER(A303)),A303,"")</f>
        <v/>
      </c>
    </row>
    <row r="304">
      <c r="A304" s="134" t="n"/>
      <c r="B304" s="116" t="n"/>
      <c r="C304" s="116" t="n"/>
      <c r="D304" s="121" t="n"/>
      <c r="E304" s="120" t="n"/>
      <c r="F304" s="120" t="n"/>
      <c r="G304" s="120" t="n"/>
      <c r="H304" s="120" t="n"/>
      <c r="I304" s="117" t="n"/>
      <c r="J304" s="123" t="str">
        <f>IF(B304="","",IF(F304&lt;&gt;"",N(F304),ROUND(N(D304)*N(E304),2)))</f>
        <v/>
      </c>
      <c r="K304" s="123" t="str">
        <f>IF(B304="","",IF(H304&lt;&gt;"",N(H304),IF(B304="Dividendo",ROUND(J304*IFERROR(INDEX(Calcoli!$V$7:$V$21,MATCH(C304,Calcoli!$A$7:$A$21,0)),0.26),2),IF(B304="Vendita",ROUND(MAX(0,U304)*IFERROR(INDEX(Calcoli!$V$7:$V$21,MATCH(C304,Calcoli!$A$7:$A$21,0)),0.26),2),0))))</f>
        <v/>
      </c>
      <c r="L304" s="135" t="str">
        <f>IF(B304="","",IF(B304="Acquisto",-(J304+N(G304)),J304-N(G304)-K304))</f>
        <v/>
      </c>
      <c r="M304" s="127" t="str">
        <f>IF(B304="","",IF(ISNA(MATCH(C304,ETF!$A$7:$A$21,0)),"ETF?",IF(NOT(ISNUMBER(A304)),"Data?",IF(AND(B304&lt;&gt;"Dividendo",N(D304)&lt;=0),"Quote?",IF(AND(B304="Vendita",N(D304)&gt;N(Q304)+0.000001),"Quote?",IF(J304&lt;=0,"Importo?","✓"))))))</f>
        <v/>
      </c>
      <c r="N304" t="str">
        <f>IF(OR(B304="Acquisto",B304="Vendita"),COUNTIFS($C$5:C304,C304,$B$5:B304,"Acquisto")+COUNTIFS($C$5:C304,C304,$B$5:B304,"Vendita"),"")</f>
        <v/>
      </c>
      <c r="O304" t="str">
        <f>IF(N304="","",C304&amp;"|"&amp;N304)</f>
        <v/>
      </c>
      <c r="P304" t="str">
        <f>IF(N304="","",IF(N304=1,0,MATCH(C304&amp;"|"&amp;(N304-1),$O$5:$O$1004,0)))</f>
        <v/>
      </c>
      <c r="Q304" t="str">
        <f>IF(N304="","",IF(P304=0,SUMIFS(Calcoli!$C$7:$C$21,Calcoli!$A$7:$A$21,C304),INDEX($S$5:$S$1004,P304)))</f>
        <v/>
      </c>
      <c r="R304" t="str">
        <f>IF(N304="","",IF(P304=0,SUMIFS(Calcoli!$D$7:$D$21,Calcoli!$A$7:$A$21,C304),INDEX($T$5:$T$1004,P304)))</f>
        <v/>
      </c>
      <c r="S304" t="str">
        <f>IF(N304="","",IF(B304="Acquisto",Q304+N(D304),MAX(0,Q304-N(D304))))</f>
        <v/>
      </c>
      <c r="T304" t="str">
        <f>IF(N304="","",IF(B304="Acquisto",R304+J304+N(G304),IF(Q304&lt;=0,0,R304*(1-MIN(1,N(D304)/Q304)))))</f>
        <v/>
      </c>
      <c r="U304" t="str">
        <f>IF(B304&lt;&gt;"Vendita","",J304-N(G304)-IF(Q304&lt;=0,0,R304*MIN(1,N(D304)/Q304)))</f>
        <v/>
      </c>
      <c r="V304" t="str">
        <f>IF(B304&lt;&gt;"Dividendo","",IF(Calcoli!$B$251=1,J304,L304))</f>
        <v/>
      </c>
      <c r="W304" t="str">
        <f>IF(AND(V304&lt;&gt;"",ISNUMBER(A304)),A304,"")</f>
        <v/>
      </c>
    </row>
    <row r="305">
      <c r="A305" s="134" t="n"/>
      <c r="B305" s="116" t="n"/>
      <c r="C305" s="116" t="n"/>
      <c r="D305" s="121" t="n"/>
      <c r="E305" s="120" t="n"/>
      <c r="F305" s="120" t="n"/>
      <c r="G305" s="120" t="n"/>
      <c r="H305" s="120" t="n"/>
      <c r="I305" s="117" t="n"/>
      <c r="J305" s="123" t="str">
        <f>IF(B305="","",IF(F305&lt;&gt;"",N(F305),ROUND(N(D305)*N(E305),2)))</f>
        <v/>
      </c>
      <c r="K305" s="123" t="str">
        <f>IF(B305="","",IF(H305&lt;&gt;"",N(H305),IF(B305="Dividendo",ROUND(J305*IFERROR(INDEX(Calcoli!$V$7:$V$21,MATCH(C305,Calcoli!$A$7:$A$21,0)),0.26),2),IF(B305="Vendita",ROUND(MAX(0,U305)*IFERROR(INDEX(Calcoli!$V$7:$V$21,MATCH(C305,Calcoli!$A$7:$A$21,0)),0.26),2),0))))</f>
        <v/>
      </c>
      <c r="L305" s="135" t="str">
        <f>IF(B305="","",IF(B305="Acquisto",-(J305+N(G305)),J305-N(G305)-K305))</f>
        <v/>
      </c>
      <c r="M305" s="127" t="str">
        <f>IF(B305="","",IF(ISNA(MATCH(C305,ETF!$A$7:$A$21,0)),"ETF?",IF(NOT(ISNUMBER(A305)),"Data?",IF(AND(B305&lt;&gt;"Dividendo",N(D305)&lt;=0),"Quote?",IF(AND(B305="Vendita",N(D305)&gt;N(Q305)+0.000001),"Quote?",IF(J305&lt;=0,"Importo?","✓"))))))</f>
        <v/>
      </c>
      <c r="N305" t="str">
        <f>IF(OR(B305="Acquisto",B305="Vendita"),COUNTIFS($C$5:C305,C305,$B$5:B305,"Acquisto")+COUNTIFS($C$5:C305,C305,$B$5:B305,"Vendita"),"")</f>
        <v/>
      </c>
      <c r="O305" t="str">
        <f>IF(N305="","",C305&amp;"|"&amp;N305)</f>
        <v/>
      </c>
      <c r="P305" t="str">
        <f>IF(N305="","",IF(N305=1,0,MATCH(C305&amp;"|"&amp;(N305-1),$O$5:$O$1004,0)))</f>
        <v/>
      </c>
      <c r="Q305" t="str">
        <f>IF(N305="","",IF(P305=0,SUMIFS(Calcoli!$C$7:$C$21,Calcoli!$A$7:$A$21,C305),INDEX($S$5:$S$1004,P305)))</f>
        <v/>
      </c>
      <c r="R305" t="str">
        <f>IF(N305="","",IF(P305=0,SUMIFS(Calcoli!$D$7:$D$21,Calcoli!$A$7:$A$21,C305),INDEX($T$5:$T$1004,P305)))</f>
        <v/>
      </c>
      <c r="S305" t="str">
        <f>IF(N305="","",IF(B305="Acquisto",Q305+N(D305),MAX(0,Q305-N(D305))))</f>
        <v/>
      </c>
      <c r="T305" t="str">
        <f>IF(N305="","",IF(B305="Acquisto",R305+J305+N(G305),IF(Q305&lt;=0,0,R305*(1-MIN(1,N(D305)/Q305)))))</f>
        <v/>
      </c>
      <c r="U305" t="str">
        <f>IF(B305&lt;&gt;"Vendita","",J305-N(G305)-IF(Q305&lt;=0,0,R305*MIN(1,N(D305)/Q305)))</f>
        <v/>
      </c>
      <c r="V305" t="str">
        <f>IF(B305&lt;&gt;"Dividendo","",IF(Calcoli!$B$251=1,J305,L305))</f>
        <v/>
      </c>
      <c r="W305" t="str">
        <f>IF(AND(V305&lt;&gt;"",ISNUMBER(A305)),A305,"")</f>
        <v/>
      </c>
    </row>
    <row r="306">
      <c r="A306" s="134" t="n"/>
      <c r="B306" s="116" t="n"/>
      <c r="C306" s="116" t="n"/>
      <c r="D306" s="121" t="n"/>
      <c r="E306" s="120" t="n"/>
      <c r="F306" s="120" t="n"/>
      <c r="G306" s="120" t="n"/>
      <c r="H306" s="120" t="n"/>
      <c r="I306" s="117" t="n"/>
      <c r="J306" s="123" t="str">
        <f>IF(B306="","",IF(F306&lt;&gt;"",N(F306),ROUND(N(D306)*N(E306),2)))</f>
        <v/>
      </c>
      <c r="K306" s="123" t="str">
        <f>IF(B306="","",IF(H306&lt;&gt;"",N(H306),IF(B306="Dividendo",ROUND(J306*IFERROR(INDEX(Calcoli!$V$7:$V$21,MATCH(C306,Calcoli!$A$7:$A$21,0)),0.26),2),IF(B306="Vendita",ROUND(MAX(0,U306)*IFERROR(INDEX(Calcoli!$V$7:$V$21,MATCH(C306,Calcoli!$A$7:$A$21,0)),0.26),2),0))))</f>
        <v/>
      </c>
      <c r="L306" s="135" t="str">
        <f>IF(B306="","",IF(B306="Acquisto",-(J306+N(G306)),J306-N(G306)-K306))</f>
        <v/>
      </c>
      <c r="M306" s="127" t="str">
        <f>IF(B306="","",IF(ISNA(MATCH(C306,ETF!$A$7:$A$21,0)),"ETF?",IF(NOT(ISNUMBER(A306)),"Data?",IF(AND(B306&lt;&gt;"Dividendo",N(D306)&lt;=0),"Quote?",IF(AND(B306="Vendita",N(D306)&gt;N(Q306)+0.000001),"Quote?",IF(J306&lt;=0,"Importo?","✓"))))))</f>
        <v/>
      </c>
      <c r="N306" t="str">
        <f>IF(OR(B306="Acquisto",B306="Vendita"),COUNTIFS($C$5:C306,C306,$B$5:B306,"Acquisto")+COUNTIFS($C$5:C306,C306,$B$5:B306,"Vendita"),"")</f>
        <v/>
      </c>
      <c r="O306" t="str">
        <f>IF(N306="","",C306&amp;"|"&amp;N306)</f>
        <v/>
      </c>
      <c r="P306" t="str">
        <f>IF(N306="","",IF(N306=1,0,MATCH(C306&amp;"|"&amp;(N306-1),$O$5:$O$1004,0)))</f>
        <v/>
      </c>
      <c r="Q306" t="str">
        <f>IF(N306="","",IF(P306=0,SUMIFS(Calcoli!$C$7:$C$21,Calcoli!$A$7:$A$21,C306),INDEX($S$5:$S$1004,P306)))</f>
        <v/>
      </c>
      <c r="R306" t="str">
        <f>IF(N306="","",IF(P306=0,SUMIFS(Calcoli!$D$7:$D$21,Calcoli!$A$7:$A$21,C306),INDEX($T$5:$T$1004,P306)))</f>
        <v/>
      </c>
      <c r="S306" t="str">
        <f>IF(N306="","",IF(B306="Acquisto",Q306+N(D306),MAX(0,Q306-N(D306))))</f>
        <v/>
      </c>
      <c r="T306" t="str">
        <f>IF(N306="","",IF(B306="Acquisto",R306+J306+N(G306),IF(Q306&lt;=0,0,R306*(1-MIN(1,N(D306)/Q306)))))</f>
        <v/>
      </c>
      <c r="U306" t="str">
        <f>IF(B306&lt;&gt;"Vendita","",J306-N(G306)-IF(Q306&lt;=0,0,R306*MIN(1,N(D306)/Q306)))</f>
        <v/>
      </c>
      <c r="V306" t="str">
        <f>IF(B306&lt;&gt;"Dividendo","",IF(Calcoli!$B$251=1,J306,L306))</f>
        <v/>
      </c>
      <c r="W306" t="str">
        <f>IF(AND(V306&lt;&gt;"",ISNUMBER(A306)),A306,"")</f>
        <v/>
      </c>
    </row>
    <row r="307">
      <c r="A307" s="134" t="n"/>
      <c r="B307" s="116" t="n"/>
      <c r="C307" s="116" t="n"/>
      <c r="D307" s="121" t="n"/>
      <c r="E307" s="120" t="n"/>
      <c r="F307" s="120" t="n"/>
      <c r="G307" s="120" t="n"/>
      <c r="H307" s="120" t="n"/>
      <c r="I307" s="117" t="n"/>
      <c r="J307" s="123" t="str">
        <f>IF(B307="","",IF(F307&lt;&gt;"",N(F307),ROUND(N(D307)*N(E307),2)))</f>
        <v/>
      </c>
      <c r="K307" s="123" t="str">
        <f>IF(B307="","",IF(H307&lt;&gt;"",N(H307),IF(B307="Dividendo",ROUND(J307*IFERROR(INDEX(Calcoli!$V$7:$V$21,MATCH(C307,Calcoli!$A$7:$A$21,0)),0.26),2),IF(B307="Vendita",ROUND(MAX(0,U307)*IFERROR(INDEX(Calcoli!$V$7:$V$21,MATCH(C307,Calcoli!$A$7:$A$21,0)),0.26),2),0))))</f>
        <v/>
      </c>
      <c r="L307" s="135" t="str">
        <f>IF(B307="","",IF(B307="Acquisto",-(J307+N(G307)),J307-N(G307)-K307))</f>
        <v/>
      </c>
      <c r="M307" s="127" t="str">
        <f>IF(B307="","",IF(ISNA(MATCH(C307,ETF!$A$7:$A$21,0)),"ETF?",IF(NOT(ISNUMBER(A307)),"Data?",IF(AND(B307&lt;&gt;"Dividendo",N(D307)&lt;=0),"Quote?",IF(AND(B307="Vendita",N(D307)&gt;N(Q307)+0.000001),"Quote?",IF(J307&lt;=0,"Importo?","✓"))))))</f>
        <v/>
      </c>
      <c r="N307" t="str">
        <f>IF(OR(B307="Acquisto",B307="Vendita"),COUNTIFS($C$5:C307,C307,$B$5:B307,"Acquisto")+COUNTIFS($C$5:C307,C307,$B$5:B307,"Vendita"),"")</f>
        <v/>
      </c>
      <c r="O307" t="str">
        <f>IF(N307="","",C307&amp;"|"&amp;N307)</f>
        <v/>
      </c>
      <c r="P307" t="str">
        <f>IF(N307="","",IF(N307=1,0,MATCH(C307&amp;"|"&amp;(N307-1),$O$5:$O$1004,0)))</f>
        <v/>
      </c>
      <c r="Q307" t="str">
        <f>IF(N307="","",IF(P307=0,SUMIFS(Calcoli!$C$7:$C$21,Calcoli!$A$7:$A$21,C307),INDEX($S$5:$S$1004,P307)))</f>
        <v/>
      </c>
      <c r="R307" t="str">
        <f>IF(N307="","",IF(P307=0,SUMIFS(Calcoli!$D$7:$D$21,Calcoli!$A$7:$A$21,C307),INDEX($T$5:$T$1004,P307)))</f>
        <v/>
      </c>
      <c r="S307" t="str">
        <f>IF(N307="","",IF(B307="Acquisto",Q307+N(D307),MAX(0,Q307-N(D307))))</f>
        <v/>
      </c>
      <c r="T307" t="str">
        <f>IF(N307="","",IF(B307="Acquisto",R307+J307+N(G307),IF(Q307&lt;=0,0,R307*(1-MIN(1,N(D307)/Q307)))))</f>
        <v/>
      </c>
      <c r="U307" t="str">
        <f>IF(B307&lt;&gt;"Vendita","",J307-N(G307)-IF(Q307&lt;=0,0,R307*MIN(1,N(D307)/Q307)))</f>
        <v/>
      </c>
      <c r="V307" t="str">
        <f>IF(B307&lt;&gt;"Dividendo","",IF(Calcoli!$B$251=1,J307,L307))</f>
        <v/>
      </c>
      <c r="W307" t="str">
        <f>IF(AND(V307&lt;&gt;"",ISNUMBER(A307)),A307,"")</f>
        <v/>
      </c>
    </row>
    <row r="308">
      <c r="A308" s="134" t="n"/>
      <c r="B308" s="116" t="n"/>
      <c r="C308" s="116" t="n"/>
      <c r="D308" s="121" t="n"/>
      <c r="E308" s="120" t="n"/>
      <c r="F308" s="120" t="n"/>
      <c r="G308" s="120" t="n"/>
      <c r="H308" s="120" t="n"/>
      <c r="I308" s="117" t="n"/>
      <c r="J308" s="123" t="str">
        <f>IF(B308="","",IF(F308&lt;&gt;"",N(F308),ROUND(N(D308)*N(E308),2)))</f>
        <v/>
      </c>
      <c r="K308" s="123" t="str">
        <f>IF(B308="","",IF(H308&lt;&gt;"",N(H308),IF(B308="Dividendo",ROUND(J308*IFERROR(INDEX(Calcoli!$V$7:$V$21,MATCH(C308,Calcoli!$A$7:$A$21,0)),0.26),2),IF(B308="Vendita",ROUND(MAX(0,U308)*IFERROR(INDEX(Calcoli!$V$7:$V$21,MATCH(C308,Calcoli!$A$7:$A$21,0)),0.26),2),0))))</f>
        <v/>
      </c>
      <c r="L308" s="135" t="str">
        <f>IF(B308="","",IF(B308="Acquisto",-(J308+N(G308)),J308-N(G308)-K308))</f>
        <v/>
      </c>
      <c r="M308" s="127" t="str">
        <f>IF(B308="","",IF(ISNA(MATCH(C308,ETF!$A$7:$A$21,0)),"ETF?",IF(NOT(ISNUMBER(A308)),"Data?",IF(AND(B308&lt;&gt;"Dividendo",N(D308)&lt;=0),"Quote?",IF(AND(B308="Vendita",N(D308)&gt;N(Q308)+0.000001),"Quote?",IF(J308&lt;=0,"Importo?","✓"))))))</f>
        <v/>
      </c>
      <c r="N308" t="str">
        <f>IF(OR(B308="Acquisto",B308="Vendita"),COUNTIFS($C$5:C308,C308,$B$5:B308,"Acquisto")+COUNTIFS($C$5:C308,C308,$B$5:B308,"Vendita"),"")</f>
        <v/>
      </c>
      <c r="O308" t="str">
        <f>IF(N308="","",C308&amp;"|"&amp;N308)</f>
        <v/>
      </c>
      <c r="P308" t="str">
        <f>IF(N308="","",IF(N308=1,0,MATCH(C308&amp;"|"&amp;(N308-1),$O$5:$O$1004,0)))</f>
        <v/>
      </c>
      <c r="Q308" t="str">
        <f>IF(N308="","",IF(P308=0,SUMIFS(Calcoli!$C$7:$C$21,Calcoli!$A$7:$A$21,C308),INDEX($S$5:$S$1004,P308)))</f>
        <v/>
      </c>
      <c r="R308" t="str">
        <f>IF(N308="","",IF(P308=0,SUMIFS(Calcoli!$D$7:$D$21,Calcoli!$A$7:$A$21,C308),INDEX($T$5:$T$1004,P308)))</f>
        <v/>
      </c>
      <c r="S308" t="str">
        <f>IF(N308="","",IF(B308="Acquisto",Q308+N(D308),MAX(0,Q308-N(D308))))</f>
        <v/>
      </c>
      <c r="T308" t="str">
        <f>IF(N308="","",IF(B308="Acquisto",R308+J308+N(G308),IF(Q308&lt;=0,0,R308*(1-MIN(1,N(D308)/Q308)))))</f>
        <v/>
      </c>
      <c r="U308" t="str">
        <f>IF(B308&lt;&gt;"Vendita","",J308-N(G308)-IF(Q308&lt;=0,0,R308*MIN(1,N(D308)/Q308)))</f>
        <v/>
      </c>
      <c r="V308" t="str">
        <f>IF(B308&lt;&gt;"Dividendo","",IF(Calcoli!$B$251=1,J308,L308))</f>
        <v/>
      </c>
      <c r="W308" t="str">
        <f>IF(AND(V308&lt;&gt;"",ISNUMBER(A308)),A308,"")</f>
        <v/>
      </c>
    </row>
    <row r="309">
      <c r="A309" s="134" t="n"/>
      <c r="B309" s="116" t="n"/>
      <c r="C309" s="116" t="n"/>
      <c r="D309" s="121" t="n"/>
      <c r="E309" s="120" t="n"/>
      <c r="F309" s="120" t="n"/>
      <c r="G309" s="120" t="n"/>
      <c r="H309" s="120" t="n"/>
      <c r="I309" s="117" t="n"/>
      <c r="J309" s="123" t="str">
        <f>IF(B309="","",IF(F309&lt;&gt;"",N(F309),ROUND(N(D309)*N(E309),2)))</f>
        <v/>
      </c>
      <c r="K309" s="123" t="str">
        <f>IF(B309="","",IF(H309&lt;&gt;"",N(H309),IF(B309="Dividendo",ROUND(J309*IFERROR(INDEX(Calcoli!$V$7:$V$21,MATCH(C309,Calcoli!$A$7:$A$21,0)),0.26),2),IF(B309="Vendita",ROUND(MAX(0,U309)*IFERROR(INDEX(Calcoli!$V$7:$V$21,MATCH(C309,Calcoli!$A$7:$A$21,0)),0.26),2),0))))</f>
        <v/>
      </c>
      <c r="L309" s="135" t="str">
        <f>IF(B309="","",IF(B309="Acquisto",-(J309+N(G309)),J309-N(G309)-K309))</f>
        <v/>
      </c>
      <c r="M309" s="127" t="str">
        <f>IF(B309="","",IF(ISNA(MATCH(C309,ETF!$A$7:$A$21,0)),"ETF?",IF(NOT(ISNUMBER(A309)),"Data?",IF(AND(B309&lt;&gt;"Dividendo",N(D309)&lt;=0),"Quote?",IF(AND(B309="Vendita",N(D309)&gt;N(Q309)+0.000001),"Quote?",IF(J309&lt;=0,"Importo?","✓"))))))</f>
        <v/>
      </c>
      <c r="N309" t="str">
        <f>IF(OR(B309="Acquisto",B309="Vendita"),COUNTIFS($C$5:C309,C309,$B$5:B309,"Acquisto")+COUNTIFS($C$5:C309,C309,$B$5:B309,"Vendita"),"")</f>
        <v/>
      </c>
      <c r="O309" t="str">
        <f>IF(N309="","",C309&amp;"|"&amp;N309)</f>
        <v/>
      </c>
      <c r="P309" t="str">
        <f>IF(N309="","",IF(N309=1,0,MATCH(C309&amp;"|"&amp;(N309-1),$O$5:$O$1004,0)))</f>
        <v/>
      </c>
      <c r="Q309" t="str">
        <f>IF(N309="","",IF(P309=0,SUMIFS(Calcoli!$C$7:$C$21,Calcoli!$A$7:$A$21,C309),INDEX($S$5:$S$1004,P309)))</f>
        <v/>
      </c>
      <c r="R309" t="str">
        <f>IF(N309="","",IF(P309=0,SUMIFS(Calcoli!$D$7:$D$21,Calcoli!$A$7:$A$21,C309),INDEX($T$5:$T$1004,P309)))</f>
        <v/>
      </c>
      <c r="S309" t="str">
        <f>IF(N309="","",IF(B309="Acquisto",Q309+N(D309),MAX(0,Q309-N(D309))))</f>
        <v/>
      </c>
      <c r="T309" t="str">
        <f>IF(N309="","",IF(B309="Acquisto",R309+J309+N(G309),IF(Q309&lt;=0,0,R309*(1-MIN(1,N(D309)/Q309)))))</f>
        <v/>
      </c>
      <c r="U309" t="str">
        <f>IF(B309&lt;&gt;"Vendita","",J309-N(G309)-IF(Q309&lt;=0,0,R309*MIN(1,N(D309)/Q309)))</f>
        <v/>
      </c>
      <c r="V309" t="str">
        <f>IF(B309&lt;&gt;"Dividendo","",IF(Calcoli!$B$251=1,J309,L309))</f>
        <v/>
      </c>
      <c r="W309" t="str">
        <f>IF(AND(V309&lt;&gt;"",ISNUMBER(A309)),A309,"")</f>
        <v/>
      </c>
    </row>
    <row r="310">
      <c r="A310" s="134" t="n"/>
      <c r="B310" s="116" t="n"/>
      <c r="C310" s="116" t="n"/>
      <c r="D310" s="121" t="n"/>
      <c r="E310" s="120" t="n"/>
      <c r="F310" s="120" t="n"/>
      <c r="G310" s="120" t="n"/>
      <c r="H310" s="120" t="n"/>
      <c r="I310" s="117" t="n"/>
      <c r="J310" s="123" t="str">
        <f>IF(B310="","",IF(F310&lt;&gt;"",N(F310),ROUND(N(D310)*N(E310),2)))</f>
        <v/>
      </c>
      <c r="K310" s="123" t="str">
        <f>IF(B310="","",IF(H310&lt;&gt;"",N(H310),IF(B310="Dividendo",ROUND(J310*IFERROR(INDEX(Calcoli!$V$7:$V$21,MATCH(C310,Calcoli!$A$7:$A$21,0)),0.26),2),IF(B310="Vendita",ROUND(MAX(0,U310)*IFERROR(INDEX(Calcoli!$V$7:$V$21,MATCH(C310,Calcoli!$A$7:$A$21,0)),0.26),2),0))))</f>
        <v/>
      </c>
      <c r="L310" s="135" t="str">
        <f>IF(B310="","",IF(B310="Acquisto",-(J310+N(G310)),J310-N(G310)-K310))</f>
        <v/>
      </c>
      <c r="M310" s="127" t="str">
        <f>IF(B310="","",IF(ISNA(MATCH(C310,ETF!$A$7:$A$21,0)),"ETF?",IF(NOT(ISNUMBER(A310)),"Data?",IF(AND(B310&lt;&gt;"Dividendo",N(D310)&lt;=0),"Quote?",IF(AND(B310="Vendita",N(D310)&gt;N(Q310)+0.000001),"Quote?",IF(J310&lt;=0,"Importo?","✓"))))))</f>
        <v/>
      </c>
      <c r="N310" t="str">
        <f>IF(OR(B310="Acquisto",B310="Vendita"),COUNTIFS($C$5:C310,C310,$B$5:B310,"Acquisto")+COUNTIFS($C$5:C310,C310,$B$5:B310,"Vendita"),"")</f>
        <v/>
      </c>
      <c r="O310" t="str">
        <f>IF(N310="","",C310&amp;"|"&amp;N310)</f>
        <v/>
      </c>
      <c r="P310" t="str">
        <f>IF(N310="","",IF(N310=1,0,MATCH(C310&amp;"|"&amp;(N310-1),$O$5:$O$1004,0)))</f>
        <v/>
      </c>
      <c r="Q310" t="str">
        <f>IF(N310="","",IF(P310=0,SUMIFS(Calcoli!$C$7:$C$21,Calcoli!$A$7:$A$21,C310),INDEX($S$5:$S$1004,P310)))</f>
        <v/>
      </c>
      <c r="R310" t="str">
        <f>IF(N310="","",IF(P310=0,SUMIFS(Calcoli!$D$7:$D$21,Calcoli!$A$7:$A$21,C310),INDEX($T$5:$T$1004,P310)))</f>
        <v/>
      </c>
      <c r="S310" t="str">
        <f>IF(N310="","",IF(B310="Acquisto",Q310+N(D310),MAX(0,Q310-N(D310))))</f>
        <v/>
      </c>
      <c r="T310" t="str">
        <f>IF(N310="","",IF(B310="Acquisto",R310+J310+N(G310),IF(Q310&lt;=0,0,R310*(1-MIN(1,N(D310)/Q310)))))</f>
        <v/>
      </c>
      <c r="U310" t="str">
        <f>IF(B310&lt;&gt;"Vendita","",J310-N(G310)-IF(Q310&lt;=0,0,R310*MIN(1,N(D310)/Q310)))</f>
        <v/>
      </c>
      <c r="V310" t="str">
        <f>IF(B310&lt;&gt;"Dividendo","",IF(Calcoli!$B$251=1,J310,L310))</f>
        <v/>
      </c>
      <c r="W310" t="str">
        <f>IF(AND(V310&lt;&gt;"",ISNUMBER(A310)),A310,"")</f>
        <v/>
      </c>
    </row>
    <row r="311">
      <c r="A311" s="134" t="n"/>
      <c r="B311" s="116" t="n"/>
      <c r="C311" s="116" t="n"/>
      <c r="D311" s="121" t="n"/>
      <c r="E311" s="120" t="n"/>
      <c r="F311" s="120" t="n"/>
      <c r="G311" s="120" t="n"/>
      <c r="H311" s="120" t="n"/>
      <c r="I311" s="117" t="n"/>
      <c r="J311" s="123" t="str">
        <f>IF(B311="","",IF(F311&lt;&gt;"",N(F311),ROUND(N(D311)*N(E311),2)))</f>
        <v/>
      </c>
      <c r="K311" s="123" t="str">
        <f>IF(B311="","",IF(H311&lt;&gt;"",N(H311),IF(B311="Dividendo",ROUND(J311*IFERROR(INDEX(Calcoli!$V$7:$V$21,MATCH(C311,Calcoli!$A$7:$A$21,0)),0.26),2),IF(B311="Vendita",ROUND(MAX(0,U311)*IFERROR(INDEX(Calcoli!$V$7:$V$21,MATCH(C311,Calcoli!$A$7:$A$21,0)),0.26),2),0))))</f>
        <v/>
      </c>
      <c r="L311" s="135" t="str">
        <f>IF(B311="","",IF(B311="Acquisto",-(J311+N(G311)),J311-N(G311)-K311))</f>
        <v/>
      </c>
      <c r="M311" s="127" t="str">
        <f>IF(B311="","",IF(ISNA(MATCH(C311,ETF!$A$7:$A$21,0)),"ETF?",IF(NOT(ISNUMBER(A311)),"Data?",IF(AND(B311&lt;&gt;"Dividendo",N(D311)&lt;=0),"Quote?",IF(AND(B311="Vendita",N(D311)&gt;N(Q311)+0.000001),"Quote?",IF(J311&lt;=0,"Importo?","✓"))))))</f>
        <v/>
      </c>
      <c r="N311" t="str">
        <f>IF(OR(B311="Acquisto",B311="Vendita"),COUNTIFS($C$5:C311,C311,$B$5:B311,"Acquisto")+COUNTIFS($C$5:C311,C311,$B$5:B311,"Vendita"),"")</f>
        <v/>
      </c>
      <c r="O311" t="str">
        <f>IF(N311="","",C311&amp;"|"&amp;N311)</f>
        <v/>
      </c>
      <c r="P311" t="str">
        <f>IF(N311="","",IF(N311=1,0,MATCH(C311&amp;"|"&amp;(N311-1),$O$5:$O$1004,0)))</f>
        <v/>
      </c>
      <c r="Q311" t="str">
        <f>IF(N311="","",IF(P311=0,SUMIFS(Calcoli!$C$7:$C$21,Calcoli!$A$7:$A$21,C311),INDEX($S$5:$S$1004,P311)))</f>
        <v/>
      </c>
      <c r="R311" t="str">
        <f>IF(N311="","",IF(P311=0,SUMIFS(Calcoli!$D$7:$D$21,Calcoli!$A$7:$A$21,C311),INDEX($T$5:$T$1004,P311)))</f>
        <v/>
      </c>
      <c r="S311" t="str">
        <f>IF(N311="","",IF(B311="Acquisto",Q311+N(D311),MAX(0,Q311-N(D311))))</f>
        <v/>
      </c>
      <c r="T311" t="str">
        <f>IF(N311="","",IF(B311="Acquisto",R311+J311+N(G311),IF(Q311&lt;=0,0,R311*(1-MIN(1,N(D311)/Q311)))))</f>
        <v/>
      </c>
      <c r="U311" t="str">
        <f>IF(B311&lt;&gt;"Vendita","",J311-N(G311)-IF(Q311&lt;=0,0,R311*MIN(1,N(D311)/Q311)))</f>
        <v/>
      </c>
      <c r="V311" t="str">
        <f>IF(B311&lt;&gt;"Dividendo","",IF(Calcoli!$B$251=1,J311,L311))</f>
        <v/>
      </c>
      <c r="W311" t="str">
        <f>IF(AND(V311&lt;&gt;"",ISNUMBER(A311)),A311,"")</f>
        <v/>
      </c>
    </row>
    <row r="312">
      <c r="A312" s="134" t="n"/>
      <c r="B312" s="116" t="n"/>
      <c r="C312" s="116" t="n"/>
      <c r="D312" s="121" t="n"/>
      <c r="E312" s="120" t="n"/>
      <c r="F312" s="120" t="n"/>
      <c r="G312" s="120" t="n"/>
      <c r="H312" s="120" t="n"/>
      <c r="I312" s="117" t="n"/>
      <c r="J312" s="123" t="str">
        <f>IF(B312="","",IF(F312&lt;&gt;"",N(F312),ROUND(N(D312)*N(E312),2)))</f>
        <v/>
      </c>
      <c r="K312" s="123" t="str">
        <f>IF(B312="","",IF(H312&lt;&gt;"",N(H312),IF(B312="Dividendo",ROUND(J312*IFERROR(INDEX(Calcoli!$V$7:$V$21,MATCH(C312,Calcoli!$A$7:$A$21,0)),0.26),2),IF(B312="Vendita",ROUND(MAX(0,U312)*IFERROR(INDEX(Calcoli!$V$7:$V$21,MATCH(C312,Calcoli!$A$7:$A$21,0)),0.26),2),0))))</f>
        <v/>
      </c>
      <c r="L312" s="135" t="str">
        <f>IF(B312="","",IF(B312="Acquisto",-(J312+N(G312)),J312-N(G312)-K312))</f>
        <v/>
      </c>
      <c r="M312" s="127" t="str">
        <f>IF(B312="","",IF(ISNA(MATCH(C312,ETF!$A$7:$A$21,0)),"ETF?",IF(NOT(ISNUMBER(A312)),"Data?",IF(AND(B312&lt;&gt;"Dividendo",N(D312)&lt;=0),"Quote?",IF(AND(B312="Vendita",N(D312)&gt;N(Q312)+0.000001),"Quote?",IF(J312&lt;=0,"Importo?","✓"))))))</f>
        <v/>
      </c>
      <c r="N312" t="str">
        <f>IF(OR(B312="Acquisto",B312="Vendita"),COUNTIFS($C$5:C312,C312,$B$5:B312,"Acquisto")+COUNTIFS($C$5:C312,C312,$B$5:B312,"Vendita"),"")</f>
        <v/>
      </c>
      <c r="O312" t="str">
        <f>IF(N312="","",C312&amp;"|"&amp;N312)</f>
        <v/>
      </c>
      <c r="P312" t="str">
        <f>IF(N312="","",IF(N312=1,0,MATCH(C312&amp;"|"&amp;(N312-1),$O$5:$O$1004,0)))</f>
        <v/>
      </c>
      <c r="Q312" t="str">
        <f>IF(N312="","",IF(P312=0,SUMIFS(Calcoli!$C$7:$C$21,Calcoli!$A$7:$A$21,C312),INDEX($S$5:$S$1004,P312)))</f>
        <v/>
      </c>
      <c r="R312" t="str">
        <f>IF(N312="","",IF(P312=0,SUMIFS(Calcoli!$D$7:$D$21,Calcoli!$A$7:$A$21,C312),INDEX($T$5:$T$1004,P312)))</f>
        <v/>
      </c>
      <c r="S312" t="str">
        <f>IF(N312="","",IF(B312="Acquisto",Q312+N(D312),MAX(0,Q312-N(D312))))</f>
        <v/>
      </c>
      <c r="T312" t="str">
        <f>IF(N312="","",IF(B312="Acquisto",R312+J312+N(G312),IF(Q312&lt;=0,0,R312*(1-MIN(1,N(D312)/Q312)))))</f>
        <v/>
      </c>
      <c r="U312" t="str">
        <f>IF(B312&lt;&gt;"Vendita","",J312-N(G312)-IF(Q312&lt;=0,0,R312*MIN(1,N(D312)/Q312)))</f>
        <v/>
      </c>
      <c r="V312" t="str">
        <f>IF(B312&lt;&gt;"Dividendo","",IF(Calcoli!$B$251=1,J312,L312))</f>
        <v/>
      </c>
      <c r="W312" t="str">
        <f>IF(AND(V312&lt;&gt;"",ISNUMBER(A312)),A312,"")</f>
        <v/>
      </c>
    </row>
    <row r="313">
      <c r="A313" s="134" t="n"/>
      <c r="B313" s="116" t="n"/>
      <c r="C313" s="116" t="n"/>
      <c r="D313" s="121" t="n"/>
      <c r="E313" s="120" t="n"/>
      <c r="F313" s="120" t="n"/>
      <c r="G313" s="120" t="n"/>
      <c r="H313" s="120" t="n"/>
      <c r="I313" s="117" t="n"/>
      <c r="J313" s="123" t="str">
        <f>IF(B313="","",IF(F313&lt;&gt;"",N(F313),ROUND(N(D313)*N(E313),2)))</f>
        <v/>
      </c>
      <c r="K313" s="123" t="str">
        <f>IF(B313="","",IF(H313&lt;&gt;"",N(H313),IF(B313="Dividendo",ROUND(J313*IFERROR(INDEX(Calcoli!$V$7:$V$21,MATCH(C313,Calcoli!$A$7:$A$21,0)),0.26),2),IF(B313="Vendita",ROUND(MAX(0,U313)*IFERROR(INDEX(Calcoli!$V$7:$V$21,MATCH(C313,Calcoli!$A$7:$A$21,0)),0.26),2),0))))</f>
        <v/>
      </c>
      <c r="L313" s="135" t="str">
        <f>IF(B313="","",IF(B313="Acquisto",-(J313+N(G313)),J313-N(G313)-K313))</f>
        <v/>
      </c>
      <c r="M313" s="127" t="str">
        <f>IF(B313="","",IF(ISNA(MATCH(C313,ETF!$A$7:$A$21,0)),"ETF?",IF(NOT(ISNUMBER(A313)),"Data?",IF(AND(B313&lt;&gt;"Dividendo",N(D313)&lt;=0),"Quote?",IF(AND(B313="Vendita",N(D313)&gt;N(Q313)+0.000001),"Quote?",IF(J313&lt;=0,"Importo?","✓"))))))</f>
        <v/>
      </c>
      <c r="N313" t="str">
        <f>IF(OR(B313="Acquisto",B313="Vendita"),COUNTIFS($C$5:C313,C313,$B$5:B313,"Acquisto")+COUNTIFS($C$5:C313,C313,$B$5:B313,"Vendita"),"")</f>
        <v/>
      </c>
      <c r="O313" t="str">
        <f>IF(N313="","",C313&amp;"|"&amp;N313)</f>
        <v/>
      </c>
      <c r="P313" t="str">
        <f>IF(N313="","",IF(N313=1,0,MATCH(C313&amp;"|"&amp;(N313-1),$O$5:$O$1004,0)))</f>
        <v/>
      </c>
      <c r="Q313" t="str">
        <f>IF(N313="","",IF(P313=0,SUMIFS(Calcoli!$C$7:$C$21,Calcoli!$A$7:$A$21,C313),INDEX($S$5:$S$1004,P313)))</f>
        <v/>
      </c>
      <c r="R313" t="str">
        <f>IF(N313="","",IF(P313=0,SUMIFS(Calcoli!$D$7:$D$21,Calcoli!$A$7:$A$21,C313),INDEX($T$5:$T$1004,P313)))</f>
        <v/>
      </c>
      <c r="S313" t="str">
        <f>IF(N313="","",IF(B313="Acquisto",Q313+N(D313),MAX(0,Q313-N(D313))))</f>
        <v/>
      </c>
      <c r="T313" t="str">
        <f>IF(N313="","",IF(B313="Acquisto",R313+J313+N(G313),IF(Q313&lt;=0,0,R313*(1-MIN(1,N(D313)/Q313)))))</f>
        <v/>
      </c>
      <c r="U313" t="str">
        <f>IF(B313&lt;&gt;"Vendita","",J313-N(G313)-IF(Q313&lt;=0,0,R313*MIN(1,N(D313)/Q313)))</f>
        <v/>
      </c>
      <c r="V313" t="str">
        <f>IF(B313&lt;&gt;"Dividendo","",IF(Calcoli!$B$251=1,J313,L313))</f>
        <v/>
      </c>
      <c r="W313" t="str">
        <f>IF(AND(V313&lt;&gt;"",ISNUMBER(A313)),A313,"")</f>
        <v/>
      </c>
    </row>
    <row r="314">
      <c r="A314" s="134" t="n"/>
      <c r="B314" s="116" t="n"/>
      <c r="C314" s="116" t="n"/>
      <c r="D314" s="121" t="n"/>
      <c r="E314" s="120" t="n"/>
      <c r="F314" s="120" t="n"/>
      <c r="G314" s="120" t="n"/>
      <c r="H314" s="120" t="n"/>
      <c r="I314" s="117" t="n"/>
      <c r="J314" s="123" t="str">
        <f>IF(B314="","",IF(F314&lt;&gt;"",N(F314),ROUND(N(D314)*N(E314),2)))</f>
        <v/>
      </c>
      <c r="K314" s="123" t="str">
        <f>IF(B314="","",IF(H314&lt;&gt;"",N(H314),IF(B314="Dividendo",ROUND(J314*IFERROR(INDEX(Calcoli!$V$7:$V$21,MATCH(C314,Calcoli!$A$7:$A$21,0)),0.26),2),IF(B314="Vendita",ROUND(MAX(0,U314)*IFERROR(INDEX(Calcoli!$V$7:$V$21,MATCH(C314,Calcoli!$A$7:$A$21,0)),0.26),2),0))))</f>
        <v/>
      </c>
      <c r="L314" s="135" t="str">
        <f>IF(B314="","",IF(B314="Acquisto",-(J314+N(G314)),J314-N(G314)-K314))</f>
        <v/>
      </c>
      <c r="M314" s="127" t="str">
        <f>IF(B314="","",IF(ISNA(MATCH(C314,ETF!$A$7:$A$21,0)),"ETF?",IF(NOT(ISNUMBER(A314)),"Data?",IF(AND(B314&lt;&gt;"Dividendo",N(D314)&lt;=0),"Quote?",IF(AND(B314="Vendita",N(D314)&gt;N(Q314)+0.000001),"Quote?",IF(J314&lt;=0,"Importo?","✓"))))))</f>
        <v/>
      </c>
      <c r="N314" t="str">
        <f>IF(OR(B314="Acquisto",B314="Vendita"),COUNTIFS($C$5:C314,C314,$B$5:B314,"Acquisto")+COUNTIFS($C$5:C314,C314,$B$5:B314,"Vendita"),"")</f>
        <v/>
      </c>
      <c r="O314" t="str">
        <f>IF(N314="","",C314&amp;"|"&amp;N314)</f>
        <v/>
      </c>
      <c r="P314" t="str">
        <f>IF(N314="","",IF(N314=1,0,MATCH(C314&amp;"|"&amp;(N314-1),$O$5:$O$1004,0)))</f>
        <v/>
      </c>
      <c r="Q314" t="str">
        <f>IF(N314="","",IF(P314=0,SUMIFS(Calcoli!$C$7:$C$21,Calcoli!$A$7:$A$21,C314),INDEX($S$5:$S$1004,P314)))</f>
        <v/>
      </c>
      <c r="R314" t="str">
        <f>IF(N314="","",IF(P314=0,SUMIFS(Calcoli!$D$7:$D$21,Calcoli!$A$7:$A$21,C314),INDEX($T$5:$T$1004,P314)))</f>
        <v/>
      </c>
      <c r="S314" t="str">
        <f>IF(N314="","",IF(B314="Acquisto",Q314+N(D314),MAX(0,Q314-N(D314))))</f>
        <v/>
      </c>
      <c r="T314" t="str">
        <f>IF(N314="","",IF(B314="Acquisto",R314+J314+N(G314),IF(Q314&lt;=0,0,R314*(1-MIN(1,N(D314)/Q314)))))</f>
        <v/>
      </c>
      <c r="U314" t="str">
        <f>IF(B314&lt;&gt;"Vendita","",J314-N(G314)-IF(Q314&lt;=0,0,R314*MIN(1,N(D314)/Q314)))</f>
        <v/>
      </c>
      <c r="V314" t="str">
        <f>IF(B314&lt;&gt;"Dividendo","",IF(Calcoli!$B$251=1,J314,L314))</f>
        <v/>
      </c>
      <c r="W314" t="str">
        <f>IF(AND(V314&lt;&gt;"",ISNUMBER(A314)),A314,"")</f>
        <v/>
      </c>
    </row>
    <row r="315">
      <c r="A315" s="134" t="n"/>
      <c r="B315" s="116" t="n"/>
      <c r="C315" s="116" t="n"/>
      <c r="D315" s="121" t="n"/>
      <c r="E315" s="120" t="n"/>
      <c r="F315" s="120" t="n"/>
      <c r="G315" s="120" t="n"/>
      <c r="H315" s="120" t="n"/>
      <c r="I315" s="117" t="n"/>
      <c r="J315" s="123" t="str">
        <f>IF(B315="","",IF(F315&lt;&gt;"",N(F315),ROUND(N(D315)*N(E315),2)))</f>
        <v/>
      </c>
      <c r="K315" s="123" t="str">
        <f>IF(B315="","",IF(H315&lt;&gt;"",N(H315),IF(B315="Dividendo",ROUND(J315*IFERROR(INDEX(Calcoli!$V$7:$V$21,MATCH(C315,Calcoli!$A$7:$A$21,0)),0.26),2),IF(B315="Vendita",ROUND(MAX(0,U315)*IFERROR(INDEX(Calcoli!$V$7:$V$21,MATCH(C315,Calcoli!$A$7:$A$21,0)),0.26),2),0))))</f>
        <v/>
      </c>
      <c r="L315" s="135" t="str">
        <f>IF(B315="","",IF(B315="Acquisto",-(J315+N(G315)),J315-N(G315)-K315))</f>
        <v/>
      </c>
      <c r="M315" s="127" t="str">
        <f>IF(B315="","",IF(ISNA(MATCH(C315,ETF!$A$7:$A$21,0)),"ETF?",IF(NOT(ISNUMBER(A315)),"Data?",IF(AND(B315&lt;&gt;"Dividendo",N(D315)&lt;=0),"Quote?",IF(AND(B315="Vendita",N(D315)&gt;N(Q315)+0.000001),"Quote?",IF(J315&lt;=0,"Importo?","✓"))))))</f>
        <v/>
      </c>
      <c r="N315" t="str">
        <f>IF(OR(B315="Acquisto",B315="Vendita"),COUNTIFS($C$5:C315,C315,$B$5:B315,"Acquisto")+COUNTIFS($C$5:C315,C315,$B$5:B315,"Vendita"),"")</f>
        <v/>
      </c>
      <c r="O315" t="str">
        <f>IF(N315="","",C315&amp;"|"&amp;N315)</f>
        <v/>
      </c>
      <c r="P315" t="str">
        <f>IF(N315="","",IF(N315=1,0,MATCH(C315&amp;"|"&amp;(N315-1),$O$5:$O$1004,0)))</f>
        <v/>
      </c>
      <c r="Q315" t="str">
        <f>IF(N315="","",IF(P315=0,SUMIFS(Calcoli!$C$7:$C$21,Calcoli!$A$7:$A$21,C315),INDEX($S$5:$S$1004,P315)))</f>
        <v/>
      </c>
      <c r="R315" t="str">
        <f>IF(N315="","",IF(P315=0,SUMIFS(Calcoli!$D$7:$D$21,Calcoli!$A$7:$A$21,C315),INDEX($T$5:$T$1004,P315)))</f>
        <v/>
      </c>
      <c r="S315" t="str">
        <f>IF(N315="","",IF(B315="Acquisto",Q315+N(D315),MAX(0,Q315-N(D315))))</f>
        <v/>
      </c>
      <c r="T315" t="str">
        <f>IF(N315="","",IF(B315="Acquisto",R315+J315+N(G315),IF(Q315&lt;=0,0,R315*(1-MIN(1,N(D315)/Q315)))))</f>
        <v/>
      </c>
      <c r="U315" t="str">
        <f>IF(B315&lt;&gt;"Vendita","",J315-N(G315)-IF(Q315&lt;=0,0,R315*MIN(1,N(D315)/Q315)))</f>
        <v/>
      </c>
      <c r="V315" t="str">
        <f>IF(B315&lt;&gt;"Dividendo","",IF(Calcoli!$B$251=1,J315,L315))</f>
        <v/>
      </c>
      <c r="W315" t="str">
        <f>IF(AND(V315&lt;&gt;"",ISNUMBER(A315)),A315,"")</f>
        <v/>
      </c>
    </row>
    <row r="316">
      <c r="A316" s="134" t="n"/>
      <c r="B316" s="116" t="n"/>
      <c r="C316" s="116" t="n"/>
      <c r="D316" s="121" t="n"/>
      <c r="E316" s="120" t="n"/>
      <c r="F316" s="120" t="n"/>
      <c r="G316" s="120" t="n"/>
      <c r="H316" s="120" t="n"/>
      <c r="I316" s="117" t="n"/>
      <c r="J316" s="123" t="str">
        <f>IF(B316="","",IF(F316&lt;&gt;"",N(F316),ROUND(N(D316)*N(E316),2)))</f>
        <v/>
      </c>
      <c r="K316" s="123" t="str">
        <f>IF(B316="","",IF(H316&lt;&gt;"",N(H316),IF(B316="Dividendo",ROUND(J316*IFERROR(INDEX(Calcoli!$V$7:$V$21,MATCH(C316,Calcoli!$A$7:$A$21,0)),0.26),2),IF(B316="Vendita",ROUND(MAX(0,U316)*IFERROR(INDEX(Calcoli!$V$7:$V$21,MATCH(C316,Calcoli!$A$7:$A$21,0)),0.26),2),0))))</f>
        <v/>
      </c>
      <c r="L316" s="135" t="str">
        <f>IF(B316="","",IF(B316="Acquisto",-(J316+N(G316)),J316-N(G316)-K316))</f>
        <v/>
      </c>
      <c r="M316" s="127" t="str">
        <f>IF(B316="","",IF(ISNA(MATCH(C316,ETF!$A$7:$A$21,0)),"ETF?",IF(NOT(ISNUMBER(A316)),"Data?",IF(AND(B316&lt;&gt;"Dividendo",N(D316)&lt;=0),"Quote?",IF(AND(B316="Vendita",N(D316)&gt;N(Q316)+0.000001),"Quote?",IF(J316&lt;=0,"Importo?","✓"))))))</f>
        <v/>
      </c>
      <c r="N316" t="str">
        <f>IF(OR(B316="Acquisto",B316="Vendita"),COUNTIFS($C$5:C316,C316,$B$5:B316,"Acquisto")+COUNTIFS($C$5:C316,C316,$B$5:B316,"Vendita"),"")</f>
        <v/>
      </c>
      <c r="O316" t="str">
        <f>IF(N316="","",C316&amp;"|"&amp;N316)</f>
        <v/>
      </c>
      <c r="P316" t="str">
        <f>IF(N316="","",IF(N316=1,0,MATCH(C316&amp;"|"&amp;(N316-1),$O$5:$O$1004,0)))</f>
        <v/>
      </c>
      <c r="Q316" t="str">
        <f>IF(N316="","",IF(P316=0,SUMIFS(Calcoli!$C$7:$C$21,Calcoli!$A$7:$A$21,C316),INDEX($S$5:$S$1004,P316)))</f>
        <v/>
      </c>
      <c r="R316" t="str">
        <f>IF(N316="","",IF(P316=0,SUMIFS(Calcoli!$D$7:$D$21,Calcoli!$A$7:$A$21,C316),INDEX($T$5:$T$1004,P316)))</f>
        <v/>
      </c>
      <c r="S316" t="str">
        <f>IF(N316="","",IF(B316="Acquisto",Q316+N(D316),MAX(0,Q316-N(D316))))</f>
        <v/>
      </c>
      <c r="T316" t="str">
        <f>IF(N316="","",IF(B316="Acquisto",R316+J316+N(G316),IF(Q316&lt;=0,0,R316*(1-MIN(1,N(D316)/Q316)))))</f>
        <v/>
      </c>
      <c r="U316" t="str">
        <f>IF(B316&lt;&gt;"Vendita","",J316-N(G316)-IF(Q316&lt;=0,0,R316*MIN(1,N(D316)/Q316)))</f>
        <v/>
      </c>
      <c r="V316" t="str">
        <f>IF(B316&lt;&gt;"Dividendo","",IF(Calcoli!$B$251=1,J316,L316))</f>
        <v/>
      </c>
      <c r="W316" t="str">
        <f>IF(AND(V316&lt;&gt;"",ISNUMBER(A316)),A316,"")</f>
        <v/>
      </c>
    </row>
    <row r="317">
      <c r="A317" s="134" t="n"/>
      <c r="B317" s="116" t="n"/>
      <c r="C317" s="116" t="n"/>
      <c r="D317" s="121" t="n"/>
      <c r="E317" s="120" t="n"/>
      <c r="F317" s="120" t="n"/>
      <c r="G317" s="120" t="n"/>
      <c r="H317" s="120" t="n"/>
      <c r="I317" s="117" t="n"/>
      <c r="J317" s="123" t="str">
        <f>IF(B317="","",IF(F317&lt;&gt;"",N(F317),ROUND(N(D317)*N(E317),2)))</f>
        <v/>
      </c>
      <c r="K317" s="123" t="str">
        <f>IF(B317="","",IF(H317&lt;&gt;"",N(H317),IF(B317="Dividendo",ROUND(J317*IFERROR(INDEX(Calcoli!$V$7:$V$21,MATCH(C317,Calcoli!$A$7:$A$21,0)),0.26),2),IF(B317="Vendita",ROUND(MAX(0,U317)*IFERROR(INDEX(Calcoli!$V$7:$V$21,MATCH(C317,Calcoli!$A$7:$A$21,0)),0.26),2),0))))</f>
        <v/>
      </c>
      <c r="L317" s="135" t="str">
        <f>IF(B317="","",IF(B317="Acquisto",-(J317+N(G317)),J317-N(G317)-K317))</f>
        <v/>
      </c>
      <c r="M317" s="127" t="str">
        <f>IF(B317="","",IF(ISNA(MATCH(C317,ETF!$A$7:$A$21,0)),"ETF?",IF(NOT(ISNUMBER(A317)),"Data?",IF(AND(B317&lt;&gt;"Dividendo",N(D317)&lt;=0),"Quote?",IF(AND(B317="Vendita",N(D317)&gt;N(Q317)+0.000001),"Quote?",IF(J317&lt;=0,"Importo?","✓"))))))</f>
        <v/>
      </c>
      <c r="N317" t="str">
        <f>IF(OR(B317="Acquisto",B317="Vendita"),COUNTIFS($C$5:C317,C317,$B$5:B317,"Acquisto")+COUNTIFS($C$5:C317,C317,$B$5:B317,"Vendita"),"")</f>
        <v/>
      </c>
      <c r="O317" t="str">
        <f>IF(N317="","",C317&amp;"|"&amp;N317)</f>
        <v/>
      </c>
      <c r="P317" t="str">
        <f>IF(N317="","",IF(N317=1,0,MATCH(C317&amp;"|"&amp;(N317-1),$O$5:$O$1004,0)))</f>
        <v/>
      </c>
      <c r="Q317" t="str">
        <f>IF(N317="","",IF(P317=0,SUMIFS(Calcoli!$C$7:$C$21,Calcoli!$A$7:$A$21,C317),INDEX($S$5:$S$1004,P317)))</f>
        <v/>
      </c>
      <c r="R317" t="str">
        <f>IF(N317="","",IF(P317=0,SUMIFS(Calcoli!$D$7:$D$21,Calcoli!$A$7:$A$21,C317),INDEX($T$5:$T$1004,P317)))</f>
        <v/>
      </c>
      <c r="S317" t="str">
        <f>IF(N317="","",IF(B317="Acquisto",Q317+N(D317),MAX(0,Q317-N(D317))))</f>
        <v/>
      </c>
      <c r="T317" t="str">
        <f>IF(N317="","",IF(B317="Acquisto",R317+J317+N(G317),IF(Q317&lt;=0,0,R317*(1-MIN(1,N(D317)/Q317)))))</f>
        <v/>
      </c>
      <c r="U317" t="str">
        <f>IF(B317&lt;&gt;"Vendita","",J317-N(G317)-IF(Q317&lt;=0,0,R317*MIN(1,N(D317)/Q317)))</f>
        <v/>
      </c>
      <c r="V317" t="str">
        <f>IF(B317&lt;&gt;"Dividendo","",IF(Calcoli!$B$251=1,J317,L317))</f>
        <v/>
      </c>
      <c r="W317" t="str">
        <f>IF(AND(V317&lt;&gt;"",ISNUMBER(A317)),A317,"")</f>
        <v/>
      </c>
    </row>
    <row r="318">
      <c r="A318" s="134" t="n"/>
      <c r="B318" s="116" t="n"/>
      <c r="C318" s="116" t="n"/>
      <c r="D318" s="121" t="n"/>
      <c r="E318" s="120" t="n"/>
      <c r="F318" s="120" t="n"/>
      <c r="G318" s="120" t="n"/>
      <c r="H318" s="120" t="n"/>
      <c r="I318" s="117" t="n"/>
      <c r="J318" s="123" t="str">
        <f>IF(B318="","",IF(F318&lt;&gt;"",N(F318),ROUND(N(D318)*N(E318),2)))</f>
        <v/>
      </c>
      <c r="K318" s="123" t="str">
        <f>IF(B318="","",IF(H318&lt;&gt;"",N(H318),IF(B318="Dividendo",ROUND(J318*IFERROR(INDEX(Calcoli!$V$7:$V$21,MATCH(C318,Calcoli!$A$7:$A$21,0)),0.26),2),IF(B318="Vendita",ROUND(MAX(0,U318)*IFERROR(INDEX(Calcoli!$V$7:$V$21,MATCH(C318,Calcoli!$A$7:$A$21,0)),0.26),2),0))))</f>
        <v/>
      </c>
      <c r="L318" s="135" t="str">
        <f>IF(B318="","",IF(B318="Acquisto",-(J318+N(G318)),J318-N(G318)-K318))</f>
        <v/>
      </c>
      <c r="M318" s="127" t="str">
        <f>IF(B318="","",IF(ISNA(MATCH(C318,ETF!$A$7:$A$21,0)),"ETF?",IF(NOT(ISNUMBER(A318)),"Data?",IF(AND(B318&lt;&gt;"Dividendo",N(D318)&lt;=0),"Quote?",IF(AND(B318="Vendita",N(D318)&gt;N(Q318)+0.000001),"Quote?",IF(J318&lt;=0,"Importo?","✓"))))))</f>
        <v/>
      </c>
      <c r="N318" t="str">
        <f>IF(OR(B318="Acquisto",B318="Vendita"),COUNTIFS($C$5:C318,C318,$B$5:B318,"Acquisto")+COUNTIFS($C$5:C318,C318,$B$5:B318,"Vendita"),"")</f>
        <v/>
      </c>
      <c r="O318" t="str">
        <f>IF(N318="","",C318&amp;"|"&amp;N318)</f>
        <v/>
      </c>
      <c r="P318" t="str">
        <f>IF(N318="","",IF(N318=1,0,MATCH(C318&amp;"|"&amp;(N318-1),$O$5:$O$1004,0)))</f>
        <v/>
      </c>
      <c r="Q318" t="str">
        <f>IF(N318="","",IF(P318=0,SUMIFS(Calcoli!$C$7:$C$21,Calcoli!$A$7:$A$21,C318),INDEX($S$5:$S$1004,P318)))</f>
        <v/>
      </c>
      <c r="R318" t="str">
        <f>IF(N318="","",IF(P318=0,SUMIFS(Calcoli!$D$7:$D$21,Calcoli!$A$7:$A$21,C318),INDEX($T$5:$T$1004,P318)))</f>
        <v/>
      </c>
      <c r="S318" t="str">
        <f>IF(N318="","",IF(B318="Acquisto",Q318+N(D318),MAX(0,Q318-N(D318))))</f>
        <v/>
      </c>
      <c r="T318" t="str">
        <f>IF(N318="","",IF(B318="Acquisto",R318+J318+N(G318),IF(Q318&lt;=0,0,R318*(1-MIN(1,N(D318)/Q318)))))</f>
        <v/>
      </c>
      <c r="U318" t="str">
        <f>IF(B318&lt;&gt;"Vendita","",J318-N(G318)-IF(Q318&lt;=0,0,R318*MIN(1,N(D318)/Q318)))</f>
        <v/>
      </c>
      <c r="V318" t="str">
        <f>IF(B318&lt;&gt;"Dividendo","",IF(Calcoli!$B$251=1,J318,L318))</f>
        <v/>
      </c>
      <c r="W318" t="str">
        <f>IF(AND(V318&lt;&gt;"",ISNUMBER(A318)),A318,"")</f>
        <v/>
      </c>
    </row>
    <row r="319">
      <c r="A319" s="134" t="n"/>
      <c r="B319" s="116" t="n"/>
      <c r="C319" s="116" t="n"/>
      <c r="D319" s="121" t="n"/>
      <c r="E319" s="120" t="n"/>
      <c r="F319" s="120" t="n"/>
      <c r="G319" s="120" t="n"/>
      <c r="H319" s="120" t="n"/>
      <c r="I319" s="117" t="n"/>
      <c r="J319" s="123" t="str">
        <f>IF(B319="","",IF(F319&lt;&gt;"",N(F319),ROUND(N(D319)*N(E319),2)))</f>
        <v/>
      </c>
      <c r="K319" s="123" t="str">
        <f>IF(B319="","",IF(H319&lt;&gt;"",N(H319),IF(B319="Dividendo",ROUND(J319*IFERROR(INDEX(Calcoli!$V$7:$V$21,MATCH(C319,Calcoli!$A$7:$A$21,0)),0.26),2),IF(B319="Vendita",ROUND(MAX(0,U319)*IFERROR(INDEX(Calcoli!$V$7:$V$21,MATCH(C319,Calcoli!$A$7:$A$21,0)),0.26),2),0))))</f>
        <v/>
      </c>
      <c r="L319" s="135" t="str">
        <f>IF(B319="","",IF(B319="Acquisto",-(J319+N(G319)),J319-N(G319)-K319))</f>
        <v/>
      </c>
      <c r="M319" s="127" t="str">
        <f>IF(B319="","",IF(ISNA(MATCH(C319,ETF!$A$7:$A$21,0)),"ETF?",IF(NOT(ISNUMBER(A319)),"Data?",IF(AND(B319&lt;&gt;"Dividendo",N(D319)&lt;=0),"Quote?",IF(AND(B319="Vendita",N(D319)&gt;N(Q319)+0.000001),"Quote?",IF(J319&lt;=0,"Importo?","✓"))))))</f>
        <v/>
      </c>
      <c r="N319" t="str">
        <f>IF(OR(B319="Acquisto",B319="Vendita"),COUNTIFS($C$5:C319,C319,$B$5:B319,"Acquisto")+COUNTIFS($C$5:C319,C319,$B$5:B319,"Vendita"),"")</f>
        <v/>
      </c>
      <c r="O319" t="str">
        <f>IF(N319="","",C319&amp;"|"&amp;N319)</f>
        <v/>
      </c>
      <c r="P319" t="str">
        <f>IF(N319="","",IF(N319=1,0,MATCH(C319&amp;"|"&amp;(N319-1),$O$5:$O$1004,0)))</f>
        <v/>
      </c>
      <c r="Q319" t="str">
        <f>IF(N319="","",IF(P319=0,SUMIFS(Calcoli!$C$7:$C$21,Calcoli!$A$7:$A$21,C319),INDEX($S$5:$S$1004,P319)))</f>
        <v/>
      </c>
      <c r="R319" t="str">
        <f>IF(N319="","",IF(P319=0,SUMIFS(Calcoli!$D$7:$D$21,Calcoli!$A$7:$A$21,C319),INDEX($T$5:$T$1004,P319)))</f>
        <v/>
      </c>
      <c r="S319" t="str">
        <f>IF(N319="","",IF(B319="Acquisto",Q319+N(D319),MAX(0,Q319-N(D319))))</f>
        <v/>
      </c>
      <c r="T319" t="str">
        <f>IF(N319="","",IF(B319="Acquisto",R319+J319+N(G319),IF(Q319&lt;=0,0,R319*(1-MIN(1,N(D319)/Q319)))))</f>
        <v/>
      </c>
      <c r="U319" t="str">
        <f>IF(B319&lt;&gt;"Vendita","",J319-N(G319)-IF(Q319&lt;=0,0,R319*MIN(1,N(D319)/Q319)))</f>
        <v/>
      </c>
      <c r="V319" t="str">
        <f>IF(B319&lt;&gt;"Dividendo","",IF(Calcoli!$B$251=1,J319,L319))</f>
        <v/>
      </c>
      <c r="W319" t="str">
        <f>IF(AND(V319&lt;&gt;"",ISNUMBER(A319)),A319,"")</f>
        <v/>
      </c>
    </row>
    <row r="320">
      <c r="A320" s="134" t="n"/>
      <c r="B320" s="116" t="n"/>
      <c r="C320" s="116" t="n"/>
      <c r="D320" s="121" t="n"/>
      <c r="E320" s="120" t="n"/>
      <c r="F320" s="120" t="n"/>
      <c r="G320" s="120" t="n"/>
      <c r="H320" s="120" t="n"/>
      <c r="I320" s="117" t="n"/>
      <c r="J320" s="123" t="str">
        <f>IF(B320="","",IF(F320&lt;&gt;"",N(F320),ROUND(N(D320)*N(E320),2)))</f>
        <v/>
      </c>
      <c r="K320" s="123" t="str">
        <f>IF(B320="","",IF(H320&lt;&gt;"",N(H320),IF(B320="Dividendo",ROUND(J320*IFERROR(INDEX(Calcoli!$V$7:$V$21,MATCH(C320,Calcoli!$A$7:$A$21,0)),0.26),2),IF(B320="Vendita",ROUND(MAX(0,U320)*IFERROR(INDEX(Calcoli!$V$7:$V$21,MATCH(C320,Calcoli!$A$7:$A$21,0)),0.26),2),0))))</f>
        <v/>
      </c>
      <c r="L320" s="135" t="str">
        <f>IF(B320="","",IF(B320="Acquisto",-(J320+N(G320)),J320-N(G320)-K320))</f>
        <v/>
      </c>
      <c r="M320" s="127" t="str">
        <f>IF(B320="","",IF(ISNA(MATCH(C320,ETF!$A$7:$A$21,0)),"ETF?",IF(NOT(ISNUMBER(A320)),"Data?",IF(AND(B320&lt;&gt;"Dividendo",N(D320)&lt;=0),"Quote?",IF(AND(B320="Vendita",N(D320)&gt;N(Q320)+0.000001),"Quote?",IF(J320&lt;=0,"Importo?","✓"))))))</f>
        <v/>
      </c>
      <c r="N320" t="str">
        <f>IF(OR(B320="Acquisto",B320="Vendita"),COUNTIFS($C$5:C320,C320,$B$5:B320,"Acquisto")+COUNTIFS($C$5:C320,C320,$B$5:B320,"Vendita"),"")</f>
        <v/>
      </c>
      <c r="O320" t="str">
        <f>IF(N320="","",C320&amp;"|"&amp;N320)</f>
        <v/>
      </c>
      <c r="P320" t="str">
        <f>IF(N320="","",IF(N320=1,0,MATCH(C320&amp;"|"&amp;(N320-1),$O$5:$O$1004,0)))</f>
        <v/>
      </c>
      <c r="Q320" t="str">
        <f>IF(N320="","",IF(P320=0,SUMIFS(Calcoli!$C$7:$C$21,Calcoli!$A$7:$A$21,C320),INDEX($S$5:$S$1004,P320)))</f>
        <v/>
      </c>
      <c r="R320" t="str">
        <f>IF(N320="","",IF(P320=0,SUMIFS(Calcoli!$D$7:$D$21,Calcoli!$A$7:$A$21,C320),INDEX($T$5:$T$1004,P320)))</f>
        <v/>
      </c>
      <c r="S320" t="str">
        <f>IF(N320="","",IF(B320="Acquisto",Q320+N(D320),MAX(0,Q320-N(D320))))</f>
        <v/>
      </c>
      <c r="T320" t="str">
        <f>IF(N320="","",IF(B320="Acquisto",R320+J320+N(G320),IF(Q320&lt;=0,0,R320*(1-MIN(1,N(D320)/Q320)))))</f>
        <v/>
      </c>
      <c r="U320" t="str">
        <f>IF(B320&lt;&gt;"Vendita","",J320-N(G320)-IF(Q320&lt;=0,0,R320*MIN(1,N(D320)/Q320)))</f>
        <v/>
      </c>
      <c r="V320" t="str">
        <f>IF(B320&lt;&gt;"Dividendo","",IF(Calcoli!$B$251=1,J320,L320))</f>
        <v/>
      </c>
      <c r="W320" t="str">
        <f>IF(AND(V320&lt;&gt;"",ISNUMBER(A320)),A320,"")</f>
        <v/>
      </c>
    </row>
    <row r="321">
      <c r="A321" s="134" t="n"/>
      <c r="B321" s="116" t="n"/>
      <c r="C321" s="116" t="n"/>
      <c r="D321" s="121" t="n"/>
      <c r="E321" s="120" t="n"/>
      <c r="F321" s="120" t="n"/>
      <c r="G321" s="120" t="n"/>
      <c r="H321" s="120" t="n"/>
      <c r="I321" s="117" t="n"/>
      <c r="J321" s="123" t="str">
        <f>IF(B321="","",IF(F321&lt;&gt;"",N(F321),ROUND(N(D321)*N(E321),2)))</f>
        <v/>
      </c>
      <c r="K321" s="123" t="str">
        <f>IF(B321="","",IF(H321&lt;&gt;"",N(H321),IF(B321="Dividendo",ROUND(J321*IFERROR(INDEX(Calcoli!$V$7:$V$21,MATCH(C321,Calcoli!$A$7:$A$21,0)),0.26),2),IF(B321="Vendita",ROUND(MAX(0,U321)*IFERROR(INDEX(Calcoli!$V$7:$V$21,MATCH(C321,Calcoli!$A$7:$A$21,0)),0.26),2),0))))</f>
        <v/>
      </c>
      <c r="L321" s="135" t="str">
        <f>IF(B321="","",IF(B321="Acquisto",-(J321+N(G321)),J321-N(G321)-K321))</f>
        <v/>
      </c>
      <c r="M321" s="127" t="str">
        <f>IF(B321="","",IF(ISNA(MATCH(C321,ETF!$A$7:$A$21,0)),"ETF?",IF(NOT(ISNUMBER(A321)),"Data?",IF(AND(B321&lt;&gt;"Dividendo",N(D321)&lt;=0),"Quote?",IF(AND(B321="Vendita",N(D321)&gt;N(Q321)+0.000001),"Quote?",IF(J321&lt;=0,"Importo?","✓"))))))</f>
        <v/>
      </c>
      <c r="N321" t="str">
        <f>IF(OR(B321="Acquisto",B321="Vendita"),COUNTIFS($C$5:C321,C321,$B$5:B321,"Acquisto")+COUNTIFS($C$5:C321,C321,$B$5:B321,"Vendita"),"")</f>
        <v/>
      </c>
      <c r="O321" t="str">
        <f>IF(N321="","",C321&amp;"|"&amp;N321)</f>
        <v/>
      </c>
      <c r="P321" t="str">
        <f>IF(N321="","",IF(N321=1,0,MATCH(C321&amp;"|"&amp;(N321-1),$O$5:$O$1004,0)))</f>
        <v/>
      </c>
      <c r="Q321" t="str">
        <f>IF(N321="","",IF(P321=0,SUMIFS(Calcoli!$C$7:$C$21,Calcoli!$A$7:$A$21,C321),INDEX($S$5:$S$1004,P321)))</f>
        <v/>
      </c>
      <c r="R321" t="str">
        <f>IF(N321="","",IF(P321=0,SUMIFS(Calcoli!$D$7:$D$21,Calcoli!$A$7:$A$21,C321),INDEX($T$5:$T$1004,P321)))</f>
        <v/>
      </c>
      <c r="S321" t="str">
        <f>IF(N321="","",IF(B321="Acquisto",Q321+N(D321),MAX(0,Q321-N(D321))))</f>
        <v/>
      </c>
      <c r="T321" t="str">
        <f>IF(N321="","",IF(B321="Acquisto",R321+J321+N(G321),IF(Q321&lt;=0,0,R321*(1-MIN(1,N(D321)/Q321)))))</f>
        <v/>
      </c>
      <c r="U321" t="str">
        <f>IF(B321&lt;&gt;"Vendita","",J321-N(G321)-IF(Q321&lt;=0,0,R321*MIN(1,N(D321)/Q321)))</f>
        <v/>
      </c>
      <c r="V321" t="str">
        <f>IF(B321&lt;&gt;"Dividendo","",IF(Calcoli!$B$251=1,J321,L321))</f>
        <v/>
      </c>
      <c r="W321" t="str">
        <f>IF(AND(V321&lt;&gt;"",ISNUMBER(A321)),A321,"")</f>
        <v/>
      </c>
    </row>
    <row r="322">
      <c r="A322" s="134" t="n"/>
      <c r="B322" s="116" t="n"/>
      <c r="C322" s="116" t="n"/>
      <c r="D322" s="121" t="n"/>
      <c r="E322" s="120" t="n"/>
      <c r="F322" s="120" t="n"/>
      <c r="G322" s="120" t="n"/>
      <c r="H322" s="120" t="n"/>
      <c r="I322" s="117" t="n"/>
      <c r="J322" s="123" t="str">
        <f>IF(B322="","",IF(F322&lt;&gt;"",N(F322),ROUND(N(D322)*N(E322),2)))</f>
        <v/>
      </c>
      <c r="K322" s="123" t="str">
        <f>IF(B322="","",IF(H322&lt;&gt;"",N(H322),IF(B322="Dividendo",ROUND(J322*IFERROR(INDEX(Calcoli!$V$7:$V$21,MATCH(C322,Calcoli!$A$7:$A$21,0)),0.26),2),IF(B322="Vendita",ROUND(MAX(0,U322)*IFERROR(INDEX(Calcoli!$V$7:$V$21,MATCH(C322,Calcoli!$A$7:$A$21,0)),0.26),2),0))))</f>
        <v/>
      </c>
      <c r="L322" s="135" t="str">
        <f>IF(B322="","",IF(B322="Acquisto",-(J322+N(G322)),J322-N(G322)-K322))</f>
        <v/>
      </c>
      <c r="M322" s="127" t="str">
        <f>IF(B322="","",IF(ISNA(MATCH(C322,ETF!$A$7:$A$21,0)),"ETF?",IF(NOT(ISNUMBER(A322)),"Data?",IF(AND(B322&lt;&gt;"Dividendo",N(D322)&lt;=0),"Quote?",IF(AND(B322="Vendita",N(D322)&gt;N(Q322)+0.000001),"Quote?",IF(J322&lt;=0,"Importo?","✓"))))))</f>
        <v/>
      </c>
      <c r="N322" t="str">
        <f>IF(OR(B322="Acquisto",B322="Vendita"),COUNTIFS($C$5:C322,C322,$B$5:B322,"Acquisto")+COUNTIFS($C$5:C322,C322,$B$5:B322,"Vendita"),"")</f>
        <v/>
      </c>
      <c r="O322" t="str">
        <f>IF(N322="","",C322&amp;"|"&amp;N322)</f>
        <v/>
      </c>
      <c r="P322" t="str">
        <f>IF(N322="","",IF(N322=1,0,MATCH(C322&amp;"|"&amp;(N322-1),$O$5:$O$1004,0)))</f>
        <v/>
      </c>
      <c r="Q322" t="str">
        <f>IF(N322="","",IF(P322=0,SUMIFS(Calcoli!$C$7:$C$21,Calcoli!$A$7:$A$21,C322),INDEX($S$5:$S$1004,P322)))</f>
        <v/>
      </c>
      <c r="R322" t="str">
        <f>IF(N322="","",IF(P322=0,SUMIFS(Calcoli!$D$7:$D$21,Calcoli!$A$7:$A$21,C322),INDEX($T$5:$T$1004,P322)))</f>
        <v/>
      </c>
      <c r="S322" t="str">
        <f>IF(N322="","",IF(B322="Acquisto",Q322+N(D322),MAX(0,Q322-N(D322))))</f>
        <v/>
      </c>
      <c r="T322" t="str">
        <f>IF(N322="","",IF(B322="Acquisto",R322+J322+N(G322),IF(Q322&lt;=0,0,R322*(1-MIN(1,N(D322)/Q322)))))</f>
        <v/>
      </c>
      <c r="U322" t="str">
        <f>IF(B322&lt;&gt;"Vendita","",J322-N(G322)-IF(Q322&lt;=0,0,R322*MIN(1,N(D322)/Q322)))</f>
        <v/>
      </c>
      <c r="V322" t="str">
        <f>IF(B322&lt;&gt;"Dividendo","",IF(Calcoli!$B$251=1,J322,L322))</f>
        <v/>
      </c>
      <c r="W322" t="str">
        <f>IF(AND(V322&lt;&gt;"",ISNUMBER(A322)),A322,"")</f>
        <v/>
      </c>
    </row>
    <row r="323">
      <c r="A323" s="134" t="n"/>
      <c r="B323" s="116" t="n"/>
      <c r="C323" s="116" t="n"/>
      <c r="D323" s="121" t="n"/>
      <c r="E323" s="120" t="n"/>
      <c r="F323" s="120" t="n"/>
      <c r="G323" s="120" t="n"/>
      <c r="H323" s="120" t="n"/>
      <c r="I323" s="117" t="n"/>
      <c r="J323" s="123" t="str">
        <f>IF(B323="","",IF(F323&lt;&gt;"",N(F323),ROUND(N(D323)*N(E323),2)))</f>
        <v/>
      </c>
      <c r="K323" s="123" t="str">
        <f>IF(B323="","",IF(H323&lt;&gt;"",N(H323),IF(B323="Dividendo",ROUND(J323*IFERROR(INDEX(Calcoli!$V$7:$V$21,MATCH(C323,Calcoli!$A$7:$A$21,0)),0.26),2),IF(B323="Vendita",ROUND(MAX(0,U323)*IFERROR(INDEX(Calcoli!$V$7:$V$21,MATCH(C323,Calcoli!$A$7:$A$21,0)),0.26),2),0))))</f>
        <v/>
      </c>
      <c r="L323" s="135" t="str">
        <f>IF(B323="","",IF(B323="Acquisto",-(J323+N(G323)),J323-N(G323)-K323))</f>
        <v/>
      </c>
      <c r="M323" s="127" t="str">
        <f>IF(B323="","",IF(ISNA(MATCH(C323,ETF!$A$7:$A$21,0)),"ETF?",IF(NOT(ISNUMBER(A323)),"Data?",IF(AND(B323&lt;&gt;"Dividendo",N(D323)&lt;=0),"Quote?",IF(AND(B323="Vendita",N(D323)&gt;N(Q323)+0.000001),"Quote?",IF(J323&lt;=0,"Importo?","✓"))))))</f>
        <v/>
      </c>
      <c r="N323" t="str">
        <f>IF(OR(B323="Acquisto",B323="Vendita"),COUNTIFS($C$5:C323,C323,$B$5:B323,"Acquisto")+COUNTIFS($C$5:C323,C323,$B$5:B323,"Vendita"),"")</f>
        <v/>
      </c>
      <c r="O323" t="str">
        <f>IF(N323="","",C323&amp;"|"&amp;N323)</f>
        <v/>
      </c>
      <c r="P323" t="str">
        <f>IF(N323="","",IF(N323=1,0,MATCH(C323&amp;"|"&amp;(N323-1),$O$5:$O$1004,0)))</f>
        <v/>
      </c>
      <c r="Q323" t="str">
        <f>IF(N323="","",IF(P323=0,SUMIFS(Calcoli!$C$7:$C$21,Calcoli!$A$7:$A$21,C323),INDEX($S$5:$S$1004,P323)))</f>
        <v/>
      </c>
      <c r="R323" t="str">
        <f>IF(N323="","",IF(P323=0,SUMIFS(Calcoli!$D$7:$D$21,Calcoli!$A$7:$A$21,C323),INDEX($T$5:$T$1004,P323)))</f>
        <v/>
      </c>
      <c r="S323" t="str">
        <f>IF(N323="","",IF(B323="Acquisto",Q323+N(D323),MAX(0,Q323-N(D323))))</f>
        <v/>
      </c>
      <c r="T323" t="str">
        <f>IF(N323="","",IF(B323="Acquisto",R323+J323+N(G323),IF(Q323&lt;=0,0,R323*(1-MIN(1,N(D323)/Q323)))))</f>
        <v/>
      </c>
      <c r="U323" t="str">
        <f>IF(B323&lt;&gt;"Vendita","",J323-N(G323)-IF(Q323&lt;=0,0,R323*MIN(1,N(D323)/Q323)))</f>
        <v/>
      </c>
      <c r="V323" t="str">
        <f>IF(B323&lt;&gt;"Dividendo","",IF(Calcoli!$B$251=1,J323,L323))</f>
        <v/>
      </c>
      <c r="W323" t="str">
        <f>IF(AND(V323&lt;&gt;"",ISNUMBER(A323)),A323,"")</f>
        <v/>
      </c>
    </row>
    <row r="324">
      <c r="A324" s="134" t="n"/>
      <c r="B324" s="116" t="n"/>
      <c r="C324" s="116" t="n"/>
      <c r="D324" s="121" t="n"/>
      <c r="E324" s="120" t="n"/>
      <c r="F324" s="120" t="n"/>
      <c r="G324" s="120" t="n"/>
      <c r="H324" s="120" t="n"/>
      <c r="I324" s="117" t="n"/>
      <c r="J324" s="123" t="str">
        <f>IF(B324="","",IF(F324&lt;&gt;"",N(F324),ROUND(N(D324)*N(E324),2)))</f>
        <v/>
      </c>
      <c r="K324" s="123" t="str">
        <f>IF(B324="","",IF(H324&lt;&gt;"",N(H324),IF(B324="Dividendo",ROUND(J324*IFERROR(INDEX(Calcoli!$V$7:$V$21,MATCH(C324,Calcoli!$A$7:$A$21,0)),0.26),2),IF(B324="Vendita",ROUND(MAX(0,U324)*IFERROR(INDEX(Calcoli!$V$7:$V$21,MATCH(C324,Calcoli!$A$7:$A$21,0)),0.26),2),0))))</f>
        <v/>
      </c>
      <c r="L324" s="135" t="str">
        <f>IF(B324="","",IF(B324="Acquisto",-(J324+N(G324)),J324-N(G324)-K324))</f>
        <v/>
      </c>
      <c r="M324" s="127" t="str">
        <f>IF(B324="","",IF(ISNA(MATCH(C324,ETF!$A$7:$A$21,0)),"ETF?",IF(NOT(ISNUMBER(A324)),"Data?",IF(AND(B324&lt;&gt;"Dividendo",N(D324)&lt;=0),"Quote?",IF(AND(B324="Vendita",N(D324)&gt;N(Q324)+0.000001),"Quote?",IF(J324&lt;=0,"Importo?","✓"))))))</f>
        <v/>
      </c>
      <c r="N324" t="str">
        <f>IF(OR(B324="Acquisto",B324="Vendita"),COUNTIFS($C$5:C324,C324,$B$5:B324,"Acquisto")+COUNTIFS($C$5:C324,C324,$B$5:B324,"Vendita"),"")</f>
        <v/>
      </c>
      <c r="O324" t="str">
        <f>IF(N324="","",C324&amp;"|"&amp;N324)</f>
        <v/>
      </c>
      <c r="P324" t="str">
        <f>IF(N324="","",IF(N324=1,0,MATCH(C324&amp;"|"&amp;(N324-1),$O$5:$O$1004,0)))</f>
        <v/>
      </c>
      <c r="Q324" t="str">
        <f>IF(N324="","",IF(P324=0,SUMIFS(Calcoli!$C$7:$C$21,Calcoli!$A$7:$A$21,C324),INDEX($S$5:$S$1004,P324)))</f>
        <v/>
      </c>
      <c r="R324" t="str">
        <f>IF(N324="","",IF(P324=0,SUMIFS(Calcoli!$D$7:$D$21,Calcoli!$A$7:$A$21,C324),INDEX($T$5:$T$1004,P324)))</f>
        <v/>
      </c>
      <c r="S324" t="str">
        <f>IF(N324="","",IF(B324="Acquisto",Q324+N(D324),MAX(0,Q324-N(D324))))</f>
        <v/>
      </c>
      <c r="T324" t="str">
        <f>IF(N324="","",IF(B324="Acquisto",R324+J324+N(G324),IF(Q324&lt;=0,0,R324*(1-MIN(1,N(D324)/Q324)))))</f>
        <v/>
      </c>
      <c r="U324" t="str">
        <f>IF(B324&lt;&gt;"Vendita","",J324-N(G324)-IF(Q324&lt;=0,0,R324*MIN(1,N(D324)/Q324)))</f>
        <v/>
      </c>
      <c r="V324" t="str">
        <f>IF(B324&lt;&gt;"Dividendo","",IF(Calcoli!$B$251=1,J324,L324))</f>
        <v/>
      </c>
      <c r="W324" t="str">
        <f>IF(AND(V324&lt;&gt;"",ISNUMBER(A324)),A324,"")</f>
        <v/>
      </c>
    </row>
    <row r="325">
      <c r="A325" s="134" t="n"/>
      <c r="B325" s="116" t="n"/>
      <c r="C325" s="116" t="n"/>
      <c r="D325" s="121" t="n"/>
      <c r="E325" s="120" t="n"/>
      <c r="F325" s="120" t="n"/>
      <c r="G325" s="120" t="n"/>
      <c r="H325" s="120" t="n"/>
      <c r="I325" s="117" t="n"/>
      <c r="J325" s="123" t="str">
        <f>IF(B325="","",IF(F325&lt;&gt;"",N(F325),ROUND(N(D325)*N(E325),2)))</f>
        <v/>
      </c>
      <c r="K325" s="123" t="str">
        <f>IF(B325="","",IF(H325&lt;&gt;"",N(H325),IF(B325="Dividendo",ROUND(J325*IFERROR(INDEX(Calcoli!$V$7:$V$21,MATCH(C325,Calcoli!$A$7:$A$21,0)),0.26),2),IF(B325="Vendita",ROUND(MAX(0,U325)*IFERROR(INDEX(Calcoli!$V$7:$V$21,MATCH(C325,Calcoli!$A$7:$A$21,0)),0.26),2),0))))</f>
        <v/>
      </c>
      <c r="L325" s="135" t="str">
        <f>IF(B325="","",IF(B325="Acquisto",-(J325+N(G325)),J325-N(G325)-K325))</f>
        <v/>
      </c>
      <c r="M325" s="127" t="str">
        <f>IF(B325="","",IF(ISNA(MATCH(C325,ETF!$A$7:$A$21,0)),"ETF?",IF(NOT(ISNUMBER(A325)),"Data?",IF(AND(B325&lt;&gt;"Dividendo",N(D325)&lt;=0),"Quote?",IF(AND(B325="Vendita",N(D325)&gt;N(Q325)+0.000001),"Quote?",IF(J325&lt;=0,"Importo?","✓"))))))</f>
        <v/>
      </c>
      <c r="N325" t="str">
        <f>IF(OR(B325="Acquisto",B325="Vendita"),COUNTIFS($C$5:C325,C325,$B$5:B325,"Acquisto")+COUNTIFS($C$5:C325,C325,$B$5:B325,"Vendita"),"")</f>
        <v/>
      </c>
      <c r="O325" t="str">
        <f>IF(N325="","",C325&amp;"|"&amp;N325)</f>
        <v/>
      </c>
      <c r="P325" t="str">
        <f>IF(N325="","",IF(N325=1,0,MATCH(C325&amp;"|"&amp;(N325-1),$O$5:$O$1004,0)))</f>
        <v/>
      </c>
      <c r="Q325" t="str">
        <f>IF(N325="","",IF(P325=0,SUMIFS(Calcoli!$C$7:$C$21,Calcoli!$A$7:$A$21,C325),INDEX($S$5:$S$1004,P325)))</f>
        <v/>
      </c>
      <c r="R325" t="str">
        <f>IF(N325="","",IF(P325=0,SUMIFS(Calcoli!$D$7:$D$21,Calcoli!$A$7:$A$21,C325),INDEX($T$5:$T$1004,P325)))</f>
        <v/>
      </c>
      <c r="S325" t="str">
        <f>IF(N325="","",IF(B325="Acquisto",Q325+N(D325),MAX(0,Q325-N(D325))))</f>
        <v/>
      </c>
      <c r="T325" t="str">
        <f>IF(N325="","",IF(B325="Acquisto",R325+J325+N(G325),IF(Q325&lt;=0,0,R325*(1-MIN(1,N(D325)/Q325)))))</f>
        <v/>
      </c>
      <c r="U325" t="str">
        <f>IF(B325&lt;&gt;"Vendita","",J325-N(G325)-IF(Q325&lt;=0,0,R325*MIN(1,N(D325)/Q325)))</f>
        <v/>
      </c>
      <c r="V325" t="str">
        <f>IF(B325&lt;&gt;"Dividendo","",IF(Calcoli!$B$251=1,J325,L325))</f>
        <v/>
      </c>
      <c r="W325" t="str">
        <f>IF(AND(V325&lt;&gt;"",ISNUMBER(A325)),A325,"")</f>
        <v/>
      </c>
    </row>
    <row r="326">
      <c r="A326" s="134" t="n"/>
      <c r="B326" s="116" t="n"/>
      <c r="C326" s="116" t="n"/>
      <c r="D326" s="121" t="n"/>
      <c r="E326" s="120" t="n"/>
      <c r="F326" s="120" t="n"/>
      <c r="G326" s="120" t="n"/>
      <c r="H326" s="120" t="n"/>
      <c r="I326" s="117" t="n"/>
      <c r="J326" s="123" t="str">
        <f>IF(B326="","",IF(F326&lt;&gt;"",N(F326),ROUND(N(D326)*N(E326),2)))</f>
        <v/>
      </c>
      <c r="K326" s="123" t="str">
        <f>IF(B326="","",IF(H326&lt;&gt;"",N(H326),IF(B326="Dividendo",ROUND(J326*IFERROR(INDEX(Calcoli!$V$7:$V$21,MATCH(C326,Calcoli!$A$7:$A$21,0)),0.26),2),IF(B326="Vendita",ROUND(MAX(0,U326)*IFERROR(INDEX(Calcoli!$V$7:$V$21,MATCH(C326,Calcoli!$A$7:$A$21,0)),0.26),2),0))))</f>
        <v/>
      </c>
      <c r="L326" s="135" t="str">
        <f>IF(B326="","",IF(B326="Acquisto",-(J326+N(G326)),J326-N(G326)-K326))</f>
        <v/>
      </c>
      <c r="M326" s="127" t="str">
        <f>IF(B326="","",IF(ISNA(MATCH(C326,ETF!$A$7:$A$21,0)),"ETF?",IF(NOT(ISNUMBER(A326)),"Data?",IF(AND(B326&lt;&gt;"Dividendo",N(D326)&lt;=0),"Quote?",IF(AND(B326="Vendita",N(D326)&gt;N(Q326)+0.000001),"Quote?",IF(J326&lt;=0,"Importo?","✓"))))))</f>
        <v/>
      </c>
      <c r="N326" t="str">
        <f>IF(OR(B326="Acquisto",B326="Vendita"),COUNTIFS($C$5:C326,C326,$B$5:B326,"Acquisto")+COUNTIFS($C$5:C326,C326,$B$5:B326,"Vendita"),"")</f>
        <v/>
      </c>
      <c r="O326" t="str">
        <f>IF(N326="","",C326&amp;"|"&amp;N326)</f>
        <v/>
      </c>
      <c r="P326" t="str">
        <f>IF(N326="","",IF(N326=1,0,MATCH(C326&amp;"|"&amp;(N326-1),$O$5:$O$1004,0)))</f>
        <v/>
      </c>
      <c r="Q326" t="str">
        <f>IF(N326="","",IF(P326=0,SUMIFS(Calcoli!$C$7:$C$21,Calcoli!$A$7:$A$21,C326),INDEX($S$5:$S$1004,P326)))</f>
        <v/>
      </c>
      <c r="R326" t="str">
        <f>IF(N326="","",IF(P326=0,SUMIFS(Calcoli!$D$7:$D$21,Calcoli!$A$7:$A$21,C326),INDEX($T$5:$T$1004,P326)))</f>
        <v/>
      </c>
      <c r="S326" t="str">
        <f>IF(N326="","",IF(B326="Acquisto",Q326+N(D326),MAX(0,Q326-N(D326))))</f>
        <v/>
      </c>
      <c r="T326" t="str">
        <f>IF(N326="","",IF(B326="Acquisto",R326+J326+N(G326),IF(Q326&lt;=0,0,R326*(1-MIN(1,N(D326)/Q326)))))</f>
        <v/>
      </c>
      <c r="U326" t="str">
        <f>IF(B326&lt;&gt;"Vendita","",J326-N(G326)-IF(Q326&lt;=0,0,R326*MIN(1,N(D326)/Q326)))</f>
        <v/>
      </c>
      <c r="V326" t="str">
        <f>IF(B326&lt;&gt;"Dividendo","",IF(Calcoli!$B$251=1,J326,L326))</f>
        <v/>
      </c>
      <c r="W326" t="str">
        <f>IF(AND(V326&lt;&gt;"",ISNUMBER(A326)),A326,"")</f>
        <v/>
      </c>
    </row>
    <row r="327">
      <c r="A327" s="134" t="n"/>
      <c r="B327" s="116" t="n"/>
      <c r="C327" s="116" t="n"/>
      <c r="D327" s="121" t="n"/>
      <c r="E327" s="120" t="n"/>
      <c r="F327" s="120" t="n"/>
      <c r="G327" s="120" t="n"/>
      <c r="H327" s="120" t="n"/>
      <c r="I327" s="117" t="n"/>
      <c r="J327" s="123" t="str">
        <f>IF(B327="","",IF(F327&lt;&gt;"",N(F327),ROUND(N(D327)*N(E327),2)))</f>
        <v/>
      </c>
      <c r="K327" s="123" t="str">
        <f>IF(B327="","",IF(H327&lt;&gt;"",N(H327),IF(B327="Dividendo",ROUND(J327*IFERROR(INDEX(Calcoli!$V$7:$V$21,MATCH(C327,Calcoli!$A$7:$A$21,0)),0.26),2),IF(B327="Vendita",ROUND(MAX(0,U327)*IFERROR(INDEX(Calcoli!$V$7:$V$21,MATCH(C327,Calcoli!$A$7:$A$21,0)),0.26),2),0))))</f>
        <v/>
      </c>
      <c r="L327" s="135" t="str">
        <f>IF(B327="","",IF(B327="Acquisto",-(J327+N(G327)),J327-N(G327)-K327))</f>
        <v/>
      </c>
      <c r="M327" s="127" t="str">
        <f>IF(B327="","",IF(ISNA(MATCH(C327,ETF!$A$7:$A$21,0)),"ETF?",IF(NOT(ISNUMBER(A327)),"Data?",IF(AND(B327&lt;&gt;"Dividendo",N(D327)&lt;=0),"Quote?",IF(AND(B327="Vendita",N(D327)&gt;N(Q327)+0.000001),"Quote?",IF(J327&lt;=0,"Importo?","✓"))))))</f>
        <v/>
      </c>
      <c r="N327" t="str">
        <f>IF(OR(B327="Acquisto",B327="Vendita"),COUNTIFS($C$5:C327,C327,$B$5:B327,"Acquisto")+COUNTIFS($C$5:C327,C327,$B$5:B327,"Vendita"),"")</f>
        <v/>
      </c>
      <c r="O327" t="str">
        <f>IF(N327="","",C327&amp;"|"&amp;N327)</f>
        <v/>
      </c>
      <c r="P327" t="str">
        <f>IF(N327="","",IF(N327=1,0,MATCH(C327&amp;"|"&amp;(N327-1),$O$5:$O$1004,0)))</f>
        <v/>
      </c>
      <c r="Q327" t="str">
        <f>IF(N327="","",IF(P327=0,SUMIFS(Calcoli!$C$7:$C$21,Calcoli!$A$7:$A$21,C327),INDEX($S$5:$S$1004,P327)))</f>
        <v/>
      </c>
      <c r="R327" t="str">
        <f>IF(N327="","",IF(P327=0,SUMIFS(Calcoli!$D$7:$D$21,Calcoli!$A$7:$A$21,C327),INDEX($T$5:$T$1004,P327)))</f>
        <v/>
      </c>
      <c r="S327" t="str">
        <f>IF(N327="","",IF(B327="Acquisto",Q327+N(D327),MAX(0,Q327-N(D327))))</f>
        <v/>
      </c>
      <c r="T327" t="str">
        <f>IF(N327="","",IF(B327="Acquisto",R327+J327+N(G327),IF(Q327&lt;=0,0,R327*(1-MIN(1,N(D327)/Q327)))))</f>
        <v/>
      </c>
      <c r="U327" t="str">
        <f>IF(B327&lt;&gt;"Vendita","",J327-N(G327)-IF(Q327&lt;=0,0,R327*MIN(1,N(D327)/Q327)))</f>
        <v/>
      </c>
      <c r="V327" t="str">
        <f>IF(B327&lt;&gt;"Dividendo","",IF(Calcoli!$B$251=1,J327,L327))</f>
        <v/>
      </c>
      <c r="W327" t="str">
        <f>IF(AND(V327&lt;&gt;"",ISNUMBER(A327)),A327,"")</f>
        <v/>
      </c>
    </row>
    <row r="328">
      <c r="A328" s="134" t="n"/>
      <c r="B328" s="116" t="n"/>
      <c r="C328" s="116" t="n"/>
      <c r="D328" s="121" t="n"/>
      <c r="E328" s="120" t="n"/>
      <c r="F328" s="120" t="n"/>
      <c r="G328" s="120" t="n"/>
      <c r="H328" s="120" t="n"/>
      <c r="I328" s="117" t="n"/>
      <c r="J328" s="123" t="str">
        <f>IF(B328="","",IF(F328&lt;&gt;"",N(F328),ROUND(N(D328)*N(E328),2)))</f>
        <v/>
      </c>
      <c r="K328" s="123" t="str">
        <f>IF(B328="","",IF(H328&lt;&gt;"",N(H328),IF(B328="Dividendo",ROUND(J328*IFERROR(INDEX(Calcoli!$V$7:$V$21,MATCH(C328,Calcoli!$A$7:$A$21,0)),0.26),2),IF(B328="Vendita",ROUND(MAX(0,U328)*IFERROR(INDEX(Calcoli!$V$7:$V$21,MATCH(C328,Calcoli!$A$7:$A$21,0)),0.26),2),0))))</f>
        <v/>
      </c>
      <c r="L328" s="135" t="str">
        <f>IF(B328="","",IF(B328="Acquisto",-(J328+N(G328)),J328-N(G328)-K328))</f>
        <v/>
      </c>
      <c r="M328" s="127" t="str">
        <f>IF(B328="","",IF(ISNA(MATCH(C328,ETF!$A$7:$A$21,0)),"ETF?",IF(NOT(ISNUMBER(A328)),"Data?",IF(AND(B328&lt;&gt;"Dividendo",N(D328)&lt;=0),"Quote?",IF(AND(B328="Vendita",N(D328)&gt;N(Q328)+0.000001),"Quote?",IF(J328&lt;=0,"Importo?","✓"))))))</f>
        <v/>
      </c>
      <c r="N328" t="str">
        <f>IF(OR(B328="Acquisto",B328="Vendita"),COUNTIFS($C$5:C328,C328,$B$5:B328,"Acquisto")+COUNTIFS($C$5:C328,C328,$B$5:B328,"Vendita"),"")</f>
        <v/>
      </c>
      <c r="O328" t="str">
        <f>IF(N328="","",C328&amp;"|"&amp;N328)</f>
        <v/>
      </c>
      <c r="P328" t="str">
        <f>IF(N328="","",IF(N328=1,0,MATCH(C328&amp;"|"&amp;(N328-1),$O$5:$O$1004,0)))</f>
        <v/>
      </c>
      <c r="Q328" t="str">
        <f>IF(N328="","",IF(P328=0,SUMIFS(Calcoli!$C$7:$C$21,Calcoli!$A$7:$A$21,C328),INDEX($S$5:$S$1004,P328)))</f>
        <v/>
      </c>
      <c r="R328" t="str">
        <f>IF(N328="","",IF(P328=0,SUMIFS(Calcoli!$D$7:$D$21,Calcoli!$A$7:$A$21,C328),INDEX($T$5:$T$1004,P328)))</f>
        <v/>
      </c>
      <c r="S328" t="str">
        <f>IF(N328="","",IF(B328="Acquisto",Q328+N(D328),MAX(0,Q328-N(D328))))</f>
        <v/>
      </c>
      <c r="T328" t="str">
        <f>IF(N328="","",IF(B328="Acquisto",R328+J328+N(G328),IF(Q328&lt;=0,0,R328*(1-MIN(1,N(D328)/Q328)))))</f>
        <v/>
      </c>
      <c r="U328" t="str">
        <f>IF(B328&lt;&gt;"Vendita","",J328-N(G328)-IF(Q328&lt;=0,0,R328*MIN(1,N(D328)/Q328)))</f>
        <v/>
      </c>
      <c r="V328" t="str">
        <f>IF(B328&lt;&gt;"Dividendo","",IF(Calcoli!$B$251=1,J328,L328))</f>
        <v/>
      </c>
      <c r="W328" t="str">
        <f>IF(AND(V328&lt;&gt;"",ISNUMBER(A328)),A328,"")</f>
        <v/>
      </c>
    </row>
    <row r="329">
      <c r="A329" s="134" t="n"/>
      <c r="B329" s="116" t="n"/>
      <c r="C329" s="116" t="n"/>
      <c r="D329" s="121" t="n"/>
      <c r="E329" s="120" t="n"/>
      <c r="F329" s="120" t="n"/>
      <c r="G329" s="120" t="n"/>
      <c r="H329" s="120" t="n"/>
      <c r="I329" s="117" t="n"/>
      <c r="J329" s="123" t="str">
        <f>IF(B329="","",IF(F329&lt;&gt;"",N(F329),ROUND(N(D329)*N(E329),2)))</f>
        <v/>
      </c>
      <c r="K329" s="123" t="str">
        <f>IF(B329="","",IF(H329&lt;&gt;"",N(H329),IF(B329="Dividendo",ROUND(J329*IFERROR(INDEX(Calcoli!$V$7:$V$21,MATCH(C329,Calcoli!$A$7:$A$21,0)),0.26),2),IF(B329="Vendita",ROUND(MAX(0,U329)*IFERROR(INDEX(Calcoli!$V$7:$V$21,MATCH(C329,Calcoli!$A$7:$A$21,0)),0.26),2),0))))</f>
        <v/>
      </c>
      <c r="L329" s="135" t="str">
        <f>IF(B329="","",IF(B329="Acquisto",-(J329+N(G329)),J329-N(G329)-K329))</f>
        <v/>
      </c>
      <c r="M329" s="127" t="str">
        <f>IF(B329="","",IF(ISNA(MATCH(C329,ETF!$A$7:$A$21,0)),"ETF?",IF(NOT(ISNUMBER(A329)),"Data?",IF(AND(B329&lt;&gt;"Dividendo",N(D329)&lt;=0),"Quote?",IF(AND(B329="Vendita",N(D329)&gt;N(Q329)+0.000001),"Quote?",IF(J329&lt;=0,"Importo?","✓"))))))</f>
        <v/>
      </c>
      <c r="N329" t="str">
        <f>IF(OR(B329="Acquisto",B329="Vendita"),COUNTIFS($C$5:C329,C329,$B$5:B329,"Acquisto")+COUNTIFS($C$5:C329,C329,$B$5:B329,"Vendita"),"")</f>
        <v/>
      </c>
      <c r="O329" t="str">
        <f>IF(N329="","",C329&amp;"|"&amp;N329)</f>
        <v/>
      </c>
      <c r="P329" t="str">
        <f>IF(N329="","",IF(N329=1,0,MATCH(C329&amp;"|"&amp;(N329-1),$O$5:$O$1004,0)))</f>
        <v/>
      </c>
      <c r="Q329" t="str">
        <f>IF(N329="","",IF(P329=0,SUMIFS(Calcoli!$C$7:$C$21,Calcoli!$A$7:$A$21,C329),INDEX($S$5:$S$1004,P329)))</f>
        <v/>
      </c>
      <c r="R329" t="str">
        <f>IF(N329="","",IF(P329=0,SUMIFS(Calcoli!$D$7:$D$21,Calcoli!$A$7:$A$21,C329),INDEX($T$5:$T$1004,P329)))</f>
        <v/>
      </c>
      <c r="S329" t="str">
        <f>IF(N329="","",IF(B329="Acquisto",Q329+N(D329),MAX(0,Q329-N(D329))))</f>
        <v/>
      </c>
      <c r="T329" t="str">
        <f>IF(N329="","",IF(B329="Acquisto",R329+J329+N(G329),IF(Q329&lt;=0,0,R329*(1-MIN(1,N(D329)/Q329)))))</f>
        <v/>
      </c>
      <c r="U329" t="str">
        <f>IF(B329&lt;&gt;"Vendita","",J329-N(G329)-IF(Q329&lt;=0,0,R329*MIN(1,N(D329)/Q329)))</f>
        <v/>
      </c>
      <c r="V329" t="str">
        <f>IF(B329&lt;&gt;"Dividendo","",IF(Calcoli!$B$251=1,J329,L329))</f>
        <v/>
      </c>
      <c r="W329" t="str">
        <f>IF(AND(V329&lt;&gt;"",ISNUMBER(A329)),A329,"")</f>
        <v/>
      </c>
    </row>
    <row r="330">
      <c r="A330" s="134" t="n"/>
      <c r="B330" s="116" t="n"/>
      <c r="C330" s="116" t="n"/>
      <c r="D330" s="121" t="n"/>
      <c r="E330" s="120" t="n"/>
      <c r="F330" s="120" t="n"/>
      <c r="G330" s="120" t="n"/>
      <c r="H330" s="120" t="n"/>
      <c r="I330" s="117" t="n"/>
      <c r="J330" s="123" t="str">
        <f>IF(B330="","",IF(F330&lt;&gt;"",N(F330),ROUND(N(D330)*N(E330),2)))</f>
        <v/>
      </c>
      <c r="K330" s="123" t="str">
        <f>IF(B330="","",IF(H330&lt;&gt;"",N(H330),IF(B330="Dividendo",ROUND(J330*IFERROR(INDEX(Calcoli!$V$7:$V$21,MATCH(C330,Calcoli!$A$7:$A$21,0)),0.26),2),IF(B330="Vendita",ROUND(MAX(0,U330)*IFERROR(INDEX(Calcoli!$V$7:$V$21,MATCH(C330,Calcoli!$A$7:$A$21,0)),0.26),2),0))))</f>
        <v/>
      </c>
      <c r="L330" s="135" t="str">
        <f>IF(B330="","",IF(B330="Acquisto",-(J330+N(G330)),J330-N(G330)-K330))</f>
        <v/>
      </c>
      <c r="M330" s="127" t="str">
        <f>IF(B330="","",IF(ISNA(MATCH(C330,ETF!$A$7:$A$21,0)),"ETF?",IF(NOT(ISNUMBER(A330)),"Data?",IF(AND(B330&lt;&gt;"Dividendo",N(D330)&lt;=0),"Quote?",IF(AND(B330="Vendita",N(D330)&gt;N(Q330)+0.000001),"Quote?",IF(J330&lt;=0,"Importo?","✓"))))))</f>
        <v/>
      </c>
      <c r="N330" t="str">
        <f>IF(OR(B330="Acquisto",B330="Vendita"),COUNTIFS($C$5:C330,C330,$B$5:B330,"Acquisto")+COUNTIFS($C$5:C330,C330,$B$5:B330,"Vendita"),"")</f>
        <v/>
      </c>
      <c r="O330" t="str">
        <f>IF(N330="","",C330&amp;"|"&amp;N330)</f>
        <v/>
      </c>
      <c r="P330" t="str">
        <f>IF(N330="","",IF(N330=1,0,MATCH(C330&amp;"|"&amp;(N330-1),$O$5:$O$1004,0)))</f>
        <v/>
      </c>
      <c r="Q330" t="str">
        <f>IF(N330="","",IF(P330=0,SUMIFS(Calcoli!$C$7:$C$21,Calcoli!$A$7:$A$21,C330),INDEX($S$5:$S$1004,P330)))</f>
        <v/>
      </c>
      <c r="R330" t="str">
        <f>IF(N330="","",IF(P330=0,SUMIFS(Calcoli!$D$7:$D$21,Calcoli!$A$7:$A$21,C330),INDEX($T$5:$T$1004,P330)))</f>
        <v/>
      </c>
      <c r="S330" t="str">
        <f>IF(N330="","",IF(B330="Acquisto",Q330+N(D330),MAX(0,Q330-N(D330))))</f>
        <v/>
      </c>
      <c r="T330" t="str">
        <f>IF(N330="","",IF(B330="Acquisto",R330+J330+N(G330),IF(Q330&lt;=0,0,R330*(1-MIN(1,N(D330)/Q330)))))</f>
        <v/>
      </c>
      <c r="U330" t="str">
        <f>IF(B330&lt;&gt;"Vendita","",J330-N(G330)-IF(Q330&lt;=0,0,R330*MIN(1,N(D330)/Q330)))</f>
        <v/>
      </c>
      <c r="V330" t="str">
        <f>IF(B330&lt;&gt;"Dividendo","",IF(Calcoli!$B$251=1,J330,L330))</f>
        <v/>
      </c>
      <c r="W330" t="str">
        <f>IF(AND(V330&lt;&gt;"",ISNUMBER(A330)),A330,"")</f>
        <v/>
      </c>
    </row>
    <row r="331">
      <c r="A331" s="134" t="n"/>
      <c r="B331" s="116" t="n"/>
      <c r="C331" s="116" t="n"/>
      <c r="D331" s="121" t="n"/>
      <c r="E331" s="120" t="n"/>
      <c r="F331" s="120" t="n"/>
      <c r="G331" s="120" t="n"/>
      <c r="H331" s="120" t="n"/>
      <c r="I331" s="117" t="n"/>
      <c r="J331" s="123" t="str">
        <f>IF(B331="","",IF(F331&lt;&gt;"",N(F331),ROUND(N(D331)*N(E331),2)))</f>
        <v/>
      </c>
      <c r="K331" s="123" t="str">
        <f>IF(B331="","",IF(H331&lt;&gt;"",N(H331),IF(B331="Dividendo",ROUND(J331*IFERROR(INDEX(Calcoli!$V$7:$V$21,MATCH(C331,Calcoli!$A$7:$A$21,0)),0.26),2),IF(B331="Vendita",ROUND(MAX(0,U331)*IFERROR(INDEX(Calcoli!$V$7:$V$21,MATCH(C331,Calcoli!$A$7:$A$21,0)),0.26),2),0))))</f>
        <v/>
      </c>
      <c r="L331" s="135" t="str">
        <f>IF(B331="","",IF(B331="Acquisto",-(J331+N(G331)),J331-N(G331)-K331))</f>
        <v/>
      </c>
      <c r="M331" s="127" t="str">
        <f>IF(B331="","",IF(ISNA(MATCH(C331,ETF!$A$7:$A$21,0)),"ETF?",IF(NOT(ISNUMBER(A331)),"Data?",IF(AND(B331&lt;&gt;"Dividendo",N(D331)&lt;=0),"Quote?",IF(AND(B331="Vendita",N(D331)&gt;N(Q331)+0.000001),"Quote?",IF(J331&lt;=0,"Importo?","✓"))))))</f>
        <v/>
      </c>
      <c r="N331" t="str">
        <f>IF(OR(B331="Acquisto",B331="Vendita"),COUNTIFS($C$5:C331,C331,$B$5:B331,"Acquisto")+COUNTIFS($C$5:C331,C331,$B$5:B331,"Vendita"),"")</f>
        <v/>
      </c>
      <c r="O331" t="str">
        <f>IF(N331="","",C331&amp;"|"&amp;N331)</f>
        <v/>
      </c>
      <c r="P331" t="str">
        <f>IF(N331="","",IF(N331=1,0,MATCH(C331&amp;"|"&amp;(N331-1),$O$5:$O$1004,0)))</f>
        <v/>
      </c>
      <c r="Q331" t="str">
        <f>IF(N331="","",IF(P331=0,SUMIFS(Calcoli!$C$7:$C$21,Calcoli!$A$7:$A$21,C331),INDEX($S$5:$S$1004,P331)))</f>
        <v/>
      </c>
      <c r="R331" t="str">
        <f>IF(N331="","",IF(P331=0,SUMIFS(Calcoli!$D$7:$D$21,Calcoli!$A$7:$A$21,C331),INDEX($T$5:$T$1004,P331)))</f>
        <v/>
      </c>
      <c r="S331" t="str">
        <f>IF(N331="","",IF(B331="Acquisto",Q331+N(D331),MAX(0,Q331-N(D331))))</f>
        <v/>
      </c>
      <c r="T331" t="str">
        <f>IF(N331="","",IF(B331="Acquisto",R331+J331+N(G331),IF(Q331&lt;=0,0,R331*(1-MIN(1,N(D331)/Q331)))))</f>
        <v/>
      </c>
      <c r="U331" t="str">
        <f>IF(B331&lt;&gt;"Vendita","",J331-N(G331)-IF(Q331&lt;=0,0,R331*MIN(1,N(D331)/Q331)))</f>
        <v/>
      </c>
      <c r="V331" t="str">
        <f>IF(B331&lt;&gt;"Dividendo","",IF(Calcoli!$B$251=1,J331,L331))</f>
        <v/>
      </c>
      <c r="W331" t="str">
        <f>IF(AND(V331&lt;&gt;"",ISNUMBER(A331)),A331,"")</f>
        <v/>
      </c>
    </row>
    <row r="332">
      <c r="A332" s="134" t="n"/>
      <c r="B332" s="116" t="n"/>
      <c r="C332" s="116" t="n"/>
      <c r="D332" s="121" t="n"/>
      <c r="E332" s="120" t="n"/>
      <c r="F332" s="120" t="n"/>
      <c r="G332" s="120" t="n"/>
      <c r="H332" s="120" t="n"/>
      <c r="I332" s="117" t="n"/>
      <c r="J332" s="123" t="str">
        <f>IF(B332="","",IF(F332&lt;&gt;"",N(F332),ROUND(N(D332)*N(E332),2)))</f>
        <v/>
      </c>
      <c r="K332" s="123" t="str">
        <f>IF(B332="","",IF(H332&lt;&gt;"",N(H332),IF(B332="Dividendo",ROUND(J332*IFERROR(INDEX(Calcoli!$V$7:$V$21,MATCH(C332,Calcoli!$A$7:$A$21,0)),0.26),2),IF(B332="Vendita",ROUND(MAX(0,U332)*IFERROR(INDEX(Calcoli!$V$7:$V$21,MATCH(C332,Calcoli!$A$7:$A$21,0)),0.26),2),0))))</f>
        <v/>
      </c>
      <c r="L332" s="135" t="str">
        <f>IF(B332="","",IF(B332="Acquisto",-(J332+N(G332)),J332-N(G332)-K332))</f>
        <v/>
      </c>
      <c r="M332" s="127" t="str">
        <f>IF(B332="","",IF(ISNA(MATCH(C332,ETF!$A$7:$A$21,0)),"ETF?",IF(NOT(ISNUMBER(A332)),"Data?",IF(AND(B332&lt;&gt;"Dividendo",N(D332)&lt;=0),"Quote?",IF(AND(B332="Vendita",N(D332)&gt;N(Q332)+0.000001),"Quote?",IF(J332&lt;=0,"Importo?","✓"))))))</f>
        <v/>
      </c>
      <c r="N332" t="str">
        <f>IF(OR(B332="Acquisto",B332="Vendita"),COUNTIFS($C$5:C332,C332,$B$5:B332,"Acquisto")+COUNTIFS($C$5:C332,C332,$B$5:B332,"Vendita"),"")</f>
        <v/>
      </c>
      <c r="O332" t="str">
        <f>IF(N332="","",C332&amp;"|"&amp;N332)</f>
        <v/>
      </c>
      <c r="P332" t="str">
        <f>IF(N332="","",IF(N332=1,0,MATCH(C332&amp;"|"&amp;(N332-1),$O$5:$O$1004,0)))</f>
        <v/>
      </c>
      <c r="Q332" t="str">
        <f>IF(N332="","",IF(P332=0,SUMIFS(Calcoli!$C$7:$C$21,Calcoli!$A$7:$A$21,C332),INDEX($S$5:$S$1004,P332)))</f>
        <v/>
      </c>
      <c r="R332" t="str">
        <f>IF(N332="","",IF(P332=0,SUMIFS(Calcoli!$D$7:$D$21,Calcoli!$A$7:$A$21,C332),INDEX($T$5:$T$1004,P332)))</f>
        <v/>
      </c>
      <c r="S332" t="str">
        <f>IF(N332="","",IF(B332="Acquisto",Q332+N(D332),MAX(0,Q332-N(D332))))</f>
        <v/>
      </c>
      <c r="T332" t="str">
        <f>IF(N332="","",IF(B332="Acquisto",R332+J332+N(G332),IF(Q332&lt;=0,0,R332*(1-MIN(1,N(D332)/Q332)))))</f>
        <v/>
      </c>
      <c r="U332" t="str">
        <f>IF(B332&lt;&gt;"Vendita","",J332-N(G332)-IF(Q332&lt;=0,0,R332*MIN(1,N(D332)/Q332)))</f>
        <v/>
      </c>
      <c r="V332" t="str">
        <f>IF(B332&lt;&gt;"Dividendo","",IF(Calcoli!$B$251=1,J332,L332))</f>
        <v/>
      </c>
      <c r="W332" t="str">
        <f>IF(AND(V332&lt;&gt;"",ISNUMBER(A332)),A332,"")</f>
        <v/>
      </c>
    </row>
    <row r="333">
      <c r="A333" s="134" t="n"/>
      <c r="B333" s="116" t="n"/>
      <c r="C333" s="116" t="n"/>
      <c r="D333" s="121" t="n"/>
      <c r="E333" s="120" t="n"/>
      <c r="F333" s="120" t="n"/>
      <c r="G333" s="120" t="n"/>
      <c r="H333" s="120" t="n"/>
      <c r="I333" s="117" t="n"/>
      <c r="J333" s="123" t="str">
        <f>IF(B333="","",IF(F333&lt;&gt;"",N(F333),ROUND(N(D333)*N(E333),2)))</f>
        <v/>
      </c>
      <c r="K333" s="123" t="str">
        <f>IF(B333="","",IF(H333&lt;&gt;"",N(H333),IF(B333="Dividendo",ROUND(J333*IFERROR(INDEX(Calcoli!$V$7:$V$21,MATCH(C333,Calcoli!$A$7:$A$21,0)),0.26),2),IF(B333="Vendita",ROUND(MAX(0,U333)*IFERROR(INDEX(Calcoli!$V$7:$V$21,MATCH(C333,Calcoli!$A$7:$A$21,0)),0.26),2),0))))</f>
        <v/>
      </c>
      <c r="L333" s="135" t="str">
        <f>IF(B333="","",IF(B333="Acquisto",-(J333+N(G333)),J333-N(G333)-K333))</f>
        <v/>
      </c>
      <c r="M333" s="127" t="str">
        <f>IF(B333="","",IF(ISNA(MATCH(C333,ETF!$A$7:$A$21,0)),"ETF?",IF(NOT(ISNUMBER(A333)),"Data?",IF(AND(B333&lt;&gt;"Dividendo",N(D333)&lt;=0),"Quote?",IF(AND(B333="Vendita",N(D333)&gt;N(Q333)+0.000001),"Quote?",IF(J333&lt;=0,"Importo?","✓"))))))</f>
        <v/>
      </c>
      <c r="N333" t="str">
        <f>IF(OR(B333="Acquisto",B333="Vendita"),COUNTIFS($C$5:C333,C333,$B$5:B333,"Acquisto")+COUNTIFS($C$5:C333,C333,$B$5:B333,"Vendita"),"")</f>
        <v/>
      </c>
      <c r="O333" t="str">
        <f>IF(N333="","",C333&amp;"|"&amp;N333)</f>
        <v/>
      </c>
      <c r="P333" t="str">
        <f>IF(N333="","",IF(N333=1,0,MATCH(C333&amp;"|"&amp;(N333-1),$O$5:$O$1004,0)))</f>
        <v/>
      </c>
      <c r="Q333" t="str">
        <f>IF(N333="","",IF(P333=0,SUMIFS(Calcoli!$C$7:$C$21,Calcoli!$A$7:$A$21,C333),INDEX($S$5:$S$1004,P333)))</f>
        <v/>
      </c>
      <c r="R333" t="str">
        <f>IF(N333="","",IF(P333=0,SUMIFS(Calcoli!$D$7:$D$21,Calcoli!$A$7:$A$21,C333),INDEX($T$5:$T$1004,P333)))</f>
        <v/>
      </c>
      <c r="S333" t="str">
        <f>IF(N333="","",IF(B333="Acquisto",Q333+N(D333),MAX(0,Q333-N(D333))))</f>
        <v/>
      </c>
      <c r="T333" t="str">
        <f>IF(N333="","",IF(B333="Acquisto",R333+J333+N(G333),IF(Q333&lt;=0,0,R333*(1-MIN(1,N(D333)/Q333)))))</f>
        <v/>
      </c>
      <c r="U333" t="str">
        <f>IF(B333&lt;&gt;"Vendita","",J333-N(G333)-IF(Q333&lt;=0,0,R333*MIN(1,N(D333)/Q333)))</f>
        <v/>
      </c>
      <c r="V333" t="str">
        <f>IF(B333&lt;&gt;"Dividendo","",IF(Calcoli!$B$251=1,J333,L333))</f>
        <v/>
      </c>
      <c r="W333" t="str">
        <f>IF(AND(V333&lt;&gt;"",ISNUMBER(A333)),A333,"")</f>
        <v/>
      </c>
    </row>
    <row r="334">
      <c r="A334" s="134" t="n"/>
      <c r="B334" s="116" t="n"/>
      <c r="C334" s="116" t="n"/>
      <c r="D334" s="121" t="n"/>
      <c r="E334" s="120" t="n"/>
      <c r="F334" s="120" t="n"/>
      <c r="G334" s="120" t="n"/>
      <c r="H334" s="120" t="n"/>
      <c r="I334" s="117" t="n"/>
      <c r="J334" s="123" t="str">
        <f>IF(B334="","",IF(F334&lt;&gt;"",N(F334),ROUND(N(D334)*N(E334),2)))</f>
        <v/>
      </c>
      <c r="K334" s="123" t="str">
        <f>IF(B334="","",IF(H334&lt;&gt;"",N(H334),IF(B334="Dividendo",ROUND(J334*IFERROR(INDEX(Calcoli!$V$7:$V$21,MATCH(C334,Calcoli!$A$7:$A$21,0)),0.26),2),IF(B334="Vendita",ROUND(MAX(0,U334)*IFERROR(INDEX(Calcoli!$V$7:$V$21,MATCH(C334,Calcoli!$A$7:$A$21,0)),0.26),2),0))))</f>
        <v/>
      </c>
      <c r="L334" s="135" t="str">
        <f>IF(B334="","",IF(B334="Acquisto",-(J334+N(G334)),J334-N(G334)-K334))</f>
        <v/>
      </c>
      <c r="M334" s="127" t="str">
        <f>IF(B334="","",IF(ISNA(MATCH(C334,ETF!$A$7:$A$21,0)),"ETF?",IF(NOT(ISNUMBER(A334)),"Data?",IF(AND(B334&lt;&gt;"Dividendo",N(D334)&lt;=0),"Quote?",IF(AND(B334="Vendita",N(D334)&gt;N(Q334)+0.000001),"Quote?",IF(J334&lt;=0,"Importo?","✓"))))))</f>
        <v/>
      </c>
      <c r="N334" t="str">
        <f>IF(OR(B334="Acquisto",B334="Vendita"),COUNTIFS($C$5:C334,C334,$B$5:B334,"Acquisto")+COUNTIFS($C$5:C334,C334,$B$5:B334,"Vendita"),"")</f>
        <v/>
      </c>
      <c r="O334" t="str">
        <f>IF(N334="","",C334&amp;"|"&amp;N334)</f>
        <v/>
      </c>
      <c r="P334" t="str">
        <f>IF(N334="","",IF(N334=1,0,MATCH(C334&amp;"|"&amp;(N334-1),$O$5:$O$1004,0)))</f>
        <v/>
      </c>
      <c r="Q334" t="str">
        <f>IF(N334="","",IF(P334=0,SUMIFS(Calcoli!$C$7:$C$21,Calcoli!$A$7:$A$21,C334),INDEX($S$5:$S$1004,P334)))</f>
        <v/>
      </c>
      <c r="R334" t="str">
        <f>IF(N334="","",IF(P334=0,SUMIFS(Calcoli!$D$7:$D$21,Calcoli!$A$7:$A$21,C334),INDEX($T$5:$T$1004,P334)))</f>
        <v/>
      </c>
      <c r="S334" t="str">
        <f>IF(N334="","",IF(B334="Acquisto",Q334+N(D334),MAX(0,Q334-N(D334))))</f>
        <v/>
      </c>
      <c r="T334" t="str">
        <f>IF(N334="","",IF(B334="Acquisto",R334+J334+N(G334),IF(Q334&lt;=0,0,R334*(1-MIN(1,N(D334)/Q334)))))</f>
        <v/>
      </c>
      <c r="U334" t="str">
        <f>IF(B334&lt;&gt;"Vendita","",J334-N(G334)-IF(Q334&lt;=0,0,R334*MIN(1,N(D334)/Q334)))</f>
        <v/>
      </c>
      <c r="V334" t="str">
        <f>IF(B334&lt;&gt;"Dividendo","",IF(Calcoli!$B$251=1,J334,L334))</f>
        <v/>
      </c>
      <c r="W334" t="str">
        <f>IF(AND(V334&lt;&gt;"",ISNUMBER(A334)),A334,"")</f>
        <v/>
      </c>
    </row>
    <row r="335">
      <c r="A335" s="134" t="n"/>
      <c r="B335" s="116" t="n"/>
      <c r="C335" s="116" t="n"/>
      <c r="D335" s="121" t="n"/>
      <c r="E335" s="120" t="n"/>
      <c r="F335" s="120" t="n"/>
      <c r="G335" s="120" t="n"/>
      <c r="H335" s="120" t="n"/>
      <c r="I335" s="117" t="n"/>
      <c r="J335" s="123" t="str">
        <f>IF(B335="","",IF(F335&lt;&gt;"",N(F335),ROUND(N(D335)*N(E335),2)))</f>
        <v/>
      </c>
      <c r="K335" s="123" t="str">
        <f>IF(B335="","",IF(H335&lt;&gt;"",N(H335),IF(B335="Dividendo",ROUND(J335*IFERROR(INDEX(Calcoli!$V$7:$V$21,MATCH(C335,Calcoli!$A$7:$A$21,0)),0.26),2),IF(B335="Vendita",ROUND(MAX(0,U335)*IFERROR(INDEX(Calcoli!$V$7:$V$21,MATCH(C335,Calcoli!$A$7:$A$21,0)),0.26),2),0))))</f>
        <v/>
      </c>
      <c r="L335" s="135" t="str">
        <f>IF(B335="","",IF(B335="Acquisto",-(J335+N(G335)),J335-N(G335)-K335))</f>
        <v/>
      </c>
      <c r="M335" s="127" t="str">
        <f>IF(B335="","",IF(ISNA(MATCH(C335,ETF!$A$7:$A$21,0)),"ETF?",IF(NOT(ISNUMBER(A335)),"Data?",IF(AND(B335&lt;&gt;"Dividendo",N(D335)&lt;=0),"Quote?",IF(AND(B335="Vendita",N(D335)&gt;N(Q335)+0.000001),"Quote?",IF(J335&lt;=0,"Importo?","✓"))))))</f>
        <v/>
      </c>
      <c r="N335" t="str">
        <f>IF(OR(B335="Acquisto",B335="Vendita"),COUNTIFS($C$5:C335,C335,$B$5:B335,"Acquisto")+COUNTIFS($C$5:C335,C335,$B$5:B335,"Vendita"),"")</f>
        <v/>
      </c>
      <c r="O335" t="str">
        <f>IF(N335="","",C335&amp;"|"&amp;N335)</f>
        <v/>
      </c>
      <c r="P335" t="str">
        <f>IF(N335="","",IF(N335=1,0,MATCH(C335&amp;"|"&amp;(N335-1),$O$5:$O$1004,0)))</f>
        <v/>
      </c>
      <c r="Q335" t="str">
        <f>IF(N335="","",IF(P335=0,SUMIFS(Calcoli!$C$7:$C$21,Calcoli!$A$7:$A$21,C335),INDEX($S$5:$S$1004,P335)))</f>
        <v/>
      </c>
      <c r="R335" t="str">
        <f>IF(N335="","",IF(P335=0,SUMIFS(Calcoli!$D$7:$D$21,Calcoli!$A$7:$A$21,C335),INDEX($T$5:$T$1004,P335)))</f>
        <v/>
      </c>
      <c r="S335" t="str">
        <f>IF(N335="","",IF(B335="Acquisto",Q335+N(D335),MAX(0,Q335-N(D335))))</f>
        <v/>
      </c>
      <c r="T335" t="str">
        <f>IF(N335="","",IF(B335="Acquisto",R335+J335+N(G335),IF(Q335&lt;=0,0,R335*(1-MIN(1,N(D335)/Q335)))))</f>
        <v/>
      </c>
      <c r="U335" t="str">
        <f>IF(B335&lt;&gt;"Vendita","",J335-N(G335)-IF(Q335&lt;=0,0,R335*MIN(1,N(D335)/Q335)))</f>
        <v/>
      </c>
      <c r="V335" t="str">
        <f>IF(B335&lt;&gt;"Dividendo","",IF(Calcoli!$B$251=1,J335,L335))</f>
        <v/>
      </c>
      <c r="W335" t="str">
        <f>IF(AND(V335&lt;&gt;"",ISNUMBER(A335)),A335,"")</f>
        <v/>
      </c>
    </row>
    <row r="336">
      <c r="A336" s="134" t="n"/>
      <c r="B336" s="116" t="n"/>
      <c r="C336" s="116" t="n"/>
      <c r="D336" s="121" t="n"/>
      <c r="E336" s="120" t="n"/>
      <c r="F336" s="120" t="n"/>
      <c r="G336" s="120" t="n"/>
      <c r="H336" s="120" t="n"/>
      <c r="I336" s="117" t="n"/>
      <c r="J336" s="123" t="str">
        <f>IF(B336="","",IF(F336&lt;&gt;"",N(F336),ROUND(N(D336)*N(E336),2)))</f>
        <v/>
      </c>
      <c r="K336" s="123" t="str">
        <f>IF(B336="","",IF(H336&lt;&gt;"",N(H336),IF(B336="Dividendo",ROUND(J336*IFERROR(INDEX(Calcoli!$V$7:$V$21,MATCH(C336,Calcoli!$A$7:$A$21,0)),0.26),2),IF(B336="Vendita",ROUND(MAX(0,U336)*IFERROR(INDEX(Calcoli!$V$7:$V$21,MATCH(C336,Calcoli!$A$7:$A$21,0)),0.26),2),0))))</f>
        <v/>
      </c>
      <c r="L336" s="135" t="str">
        <f>IF(B336="","",IF(B336="Acquisto",-(J336+N(G336)),J336-N(G336)-K336))</f>
        <v/>
      </c>
      <c r="M336" s="127" t="str">
        <f>IF(B336="","",IF(ISNA(MATCH(C336,ETF!$A$7:$A$21,0)),"ETF?",IF(NOT(ISNUMBER(A336)),"Data?",IF(AND(B336&lt;&gt;"Dividendo",N(D336)&lt;=0),"Quote?",IF(AND(B336="Vendita",N(D336)&gt;N(Q336)+0.000001),"Quote?",IF(J336&lt;=0,"Importo?","✓"))))))</f>
        <v/>
      </c>
      <c r="N336" t="str">
        <f>IF(OR(B336="Acquisto",B336="Vendita"),COUNTIFS($C$5:C336,C336,$B$5:B336,"Acquisto")+COUNTIFS($C$5:C336,C336,$B$5:B336,"Vendita"),"")</f>
        <v/>
      </c>
      <c r="O336" t="str">
        <f>IF(N336="","",C336&amp;"|"&amp;N336)</f>
        <v/>
      </c>
      <c r="P336" t="str">
        <f>IF(N336="","",IF(N336=1,0,MATCH(C336&amp;"|"&amp;(N336-1),$O$5:$O$1004,0)))</f>
        <v/>
      </c>
      <c r="Q336" t="str">
        <f>IF(N336="","",IF(P336=0,SUMIFS(Calcoli!$C$7:$C$21,Calcoli!$A$7:$A$21,C336),INDEX($S$5:$S$1004,P336)))</f>
        <v/>
      </c>
      <c r="R336" t="str">
        <f>IF(N336="","",IF(P336=0,SUMIFS(Calcoli!$D$7:$D$21,Calcoli!$A$7:$A$21,C336),INDEX($T$5:$T$1004,P336)))</f>
        <v/>
      </c>
      <c r="S336" t="str">
        <f>IF(N336="","",IF(B336="Acquisto",Q336+N(D336),MAX(0,Q336-N(D336))))</f>
        <v/>
      </c>
      <c r="T336" t="str">
        <f>IF(N336="","",IF(B336="Acquisto",R336+J336+N(G336),IF(Q336&lt;=0,0,R336*(1-MIN(1,N(D336)/Q336)))))</f>
        <v/>
      </c>
      <c r="U336" t="str">
        <f>IF(B336&lt;&gt;"Vendita","",J336-N(G336)-IF(Q336&lt;=0,0,R336*MIN(1,N(D336)/Q336)))</f>
        <v/>
      </c>
      <c r="V336" t="str">
        <f>IF(B336&lt;&gt;"Dividendo","",IF(Calcoli!$B$251=1,J336,L336))</f>
        <v/>
      </c>
      <c r="W336" t="str">
        <f>IF(AND(V336&lt;&gt;"",ISNUMBER(A336)),A336,"")</f>
        <v/>
      </c>
    </row>
    <row r="337">
      <c r="A337" s="134" t="n"/>
      <c r="B337" s="116" t="n"/>
      <c r="C337" s="116" t="n"/>
      <c r="D337" s="121" t="n"/>
      <c r="E337" s="120" t="n"/>
      <c r="F337" s="120" t="n"/>
      <c r="G337" s="120" t="n"/>
      <c r="H337" s="120" t="n"/>
      <c r="I337" s="117" t="n"/>
      <c r="J337" s="123" t="str">
        <f>IF(B337="","",IF(F337&lt;&gt;"",N(F337),ROUND(N(D337)*N(E337),2)))</f>
        <v/>
      </c>
      <c r="K337" s="123" t="str">
        <f>IF(B337="","",IF(H337&lt;&gt;"",N(H337),IF(B337="Dividendo",ROUND(J337*IFERROR(INDEX(Calcoli!$V$7:$V$21,MATCH(C337,Calcoli!$A$7:$A$21,0)),0.26),2),IF(B337="Vendita",ROUND(MAX(0,U337)*IFERROR(INDEX(Calcoli!$V$7:$V$21,MATCH(C337,Calcoli!$A$7:$A$21,0)),0.26),2),0))))</f>
        <v/>
      </c>
      <c r="L337" s="135" t="str">
        <f>IF(B337="","",IF(B337="Acquisto",-(J337+N(G337)),J337-N(G337)-K337))</f>
        <v/>
      </c>
      <c r="M337" s="127" t="str">
        <f>IF(B337="","",IF(ISNA(MATCH(C337,ETF!$A$7:$A$21,0)),"ETF?",IF(NOT(ISNUMBER(A337)),"Data?",IF(AND(B337&lt;&gt;"Dividendo",N(D337)&lt;=0),"Quote?",IF(AND(B337="Vendita",N(D337)&gt;N(Q337)+0.000001),"Quote?",IF(J337&lt;=0,"Importo?","✓"))))))</f>
        <v/>
      </c>
      <c r="N337" t="str">
        <f>IF(OR(B337="Acquisto",B337="Vendita"),COUNTIFS($C$5:C337,C337,$B$5:B337,"Acquisto")+COUNTIFS($C$5:C337,C337,$B$5:B337,"Vendita"),"")</f>
        <v/>
      </c>
      <c r="O337" t="str">
        <f>IF(N337="","",C337&amp;"|"&amp;N337)</f>
        <v/>
      </c>
      <c r="P337" t="str">
        <f>IF(N337="","",IF(N337=1,0,MATCH(C337&amp;"|"&amp;(N337-1),$O$5:$O$1004,0)))</f>
        <v/>
      </c>
      <c r="Q337" t="str">
        <f>IF(N337="","",IF(P337=0,SUMIFS(Calcoli!$C$7:$C$21,Calcoli!$A$7:$A$21,C337),INDEX($S$5:$S$1004,P337)))</f>
        <v/>
      </c>
      <c r="R337" t="str">
        <f>IF(N337="","",IF(P337=0,SUMIFS(Calcoli!$D$7:$D$21,Calcoli!$A$7:$A$21,C337),INDEX($T$5:$T$1004,P337)))</f>
        <v/>
      </c>
      <c r="S337" t="str">
        <f>IF(N337="","",IF(B337="Acquisto",Q337+N(D337),MAX(0,Q337-N(D337))))</f>
        <v/>
      </c>
      <c r="T337" t="str">
        <f>IF(N337="","",IF(B337="Acquisto",R337+J337+N(G337),IF(Q337&lt;=0,0,R337*(1-MIN(1,N(D337)/Q337)))))</f>
        <v/>
      </c>
      <c r="U337" t="str">
        <f>IF(B337&lt;&gt;"Vendita","",J337-N(G337)-IF(Q337&lt;=0,0,R337*MIN(1,N(D337)/Q337)))</f>
        <v/>
      </c>
      <c r="V337" t="str">
        <f>IF(B337&lt;&gt;"Dividendo","",IF(Calcoli!$B$251=1,J337,L337))</f>
        <v/>
      </c>
      <c r="W337" t="str">
        <f>IF(AND(V337&lt;&gt;"",ISNUMBER(A337)),A337,"")</f>
        <v/>
      </c>
    </row>
    <row r="338">
      <c r="A338" s="134" t="n"/>
      <c r="B338" s="116" t="n"/>
      <c r="C338" s="116" t="n"/>
      <c r="D338" s="121" t="n"/>
      <c r="E338" s="120" t="n"/>
      <c r="F338" s="120" t="n"/>
      <c r="G338" s="120" t="n"/>
      <c r="H338" s="120" t="n"/>
      <c r="I338" s="117" t="n"/>
      <c r="J338" s="123" t="str">
        <f>IF(B338="","",IF(F338&lt;&gt;"",N(F338),ROUND(N(D338)*N(E338),2)))</f>
        <v/>
      </c>
      <c r="K338" s="123" t="str">
        <f>IF(B338="","",IF(H338&lt;&gt;"",N(H338),IF(B338="Dividendo",ROUND(J338*IFERROR(INDEX(Calcoli!$V$7:$V$21,MATCH(C338,Calcoli!$A$7:$A$21,0)),0.26),2),IF(B338="Vendita",ROUND(MAX(0,U338)*IFERROR(INDEX(Calcoli!$V$7:$V$21,MATCH(C338,Calcoli!$A$7:$A$21,0)),0.26),2),0))))</f>
        <v/>
      </c>
      <c r="L338" s="135" t="str">
        <f>IF(B338="","",IF(B338="Acquisto",-(J338+N(G338)),J338-N(G338)-K338))</f>
        <v/>
      </c>
      <c r="M338" s="127" t="str">
        <f>IF(B338="","",IF(ISNA(MATCH(C338,ETF!$A$7:$A$21,0)),"ETF?",IF(NOT(ISNUMBER(A338)),"Data?",IF(AND(B338&lt;&gt;"Dividendo",N(D338)&lt;=0),"Quote?",IF(AND(B338="Vendita",N(D338)&gt;N(Q338)+0.000001),"Quote?",IF(J338&lt;=0,"Importo?","✓"))))))</f>
        <v/>
      </c>
      <c r="N338" t="str">
        <f>IF(OR(B338="Acquisto",B338="Vendita"),COUNTIFS($C$5:C338,C338,$B$5:B338,"Acquisto")+COUNTIFS($C$5:C338,C338,$B$5:B338,"Vendita"),"")</f>
        <v/>
      </c>
      <c r="O338" t="str">
        <f>IF(N338="","",C338&amp;"|"&amp;N338)</f>
        <v/>
      </c>
      <c r="P338" t="str">
        <f>IF(N338="","",IF(N338=1,0,MATCH(C338&amp;"|"&amp;(N338-1),$O$5:$O$1004,0)))</f>
        <v/>
      </c>
      <c r="Q338" t="str">
        <f>IF(N338="","",IF(P338=0,SUMIFS(Calcoli!$C$7:$C$21,Calcoli!$A$7:$A$21,C338),INDEX($S$5:$S$1004,P338)))</f>
        <v/>
      </c>
      <c r="R338" t="str">
        <f>IF(N338="","",IF(P338=0,SUMIFS(Calcoli!$D$7:$D$21,Calcoli!$A$7:$A$21,C338),INDEX($T$5:$T$1004,P338)))</f>
        <v/>
      </c>
      <c r="S338" t="str">
        <f>IF(N338="","",IF(B338="Acquisto",Q338+N(D338),MAX(0,Q338-N(D338))))</f>
        <v/>
      </c>
      <c r="T338" t="str">
        <f>IF(N338="","",IF(B338="Acquisto",R338+J338+N(G338),IF(Q338&lt;=0,0,R338*(1-MIN(1,N(D338)/Q338)))))</f>
        <v/>
      </c>
      <c r="U338" t="str">
        <f>IF(B338&lt;&gt;"Vendita","",J338-N(G338)-IF(Q338&lt;=0,0,R338*MIN(1,N(D338)/Q338)))</f>
        <v/>
      </c>
      <c r="V338" t="str">
        <f>IF(B338&lt;&gt;"Dividendo","",IF(Calcoli!$B$251=1,J338,L338))</f>
        <v/>
      </c>
      <c r="W338" t="str">
        <f>IF(AND(V338&lt;&gt;"",ISNUMBER(A338)),A338,"")</f>
        <v/>
      </c>
    </row>
    <row r="339">
      <c r="A339" s="134" t="n"/>
      <c r="B339" s="116" t="n"/>
      <c r="C339" s="116" t="n"/>
      <c r="D339" s="121" t="n"/>
      <c r="E339" s="120" t="n"/>
      <c r="F339" s="120" t="n"/>
      <c r="G339" s="120" t="n"/>
      <c r="H339" s="120" t="n"/>
      <c r="I339" s="117" t="n"/>
      <c r="J339" s="123" t="str">
        <f>IF(B339="","",IF(F339&lt;&gt;"",N(F339),ROUND(N(D339)*N(E339),2)))</f>
        <v/>
      </c>
      <c r="K339" s="123" t="str">
        <f>IF(B339="","",IF(H339&lt;&gt;"",N(H339),IF(B339="Dividendo",ROUND(J339*IFERROR(INDEX(Calcoli!$V$7:$V$21,MATCH(C339,Calcoli!$A$7:$A$21,0)),0.26),2),IF(B339="Vendita",ROUND(MAX(0,U339)*IFERROR(INDEX(Calcoli!$V$7:$V$21,MATCH(C339,Calcoli!$A$7:$A$21,0)),0.26),2),0))))</f>
        <v/>
      </c>
      <c r="L339" s="135" t="str">
        <f>IF(B339="","",IF(B339="Acquisto",-(J339+N(G339)),J339-N(G339)-K339))</f>
        <v/>
      </c>
      <c r="M339" s="127" t="str">
        <f>IF(B339="","",IF(ISNA(MATCH(C339,ETF!$A$7:$A$21,0)),"ETF?",IF(NOT(ISNUMBER(A339)),"Data?",IF(AND(B339&lt;&gt;"Dividendo",N(D339)&lt;=0),"Quote?",IF(AND(B339="Vendita",N(D339)&gt;N(Q339)+0.000001),"Quote?",IF(J339&lt;=0,"Importo?","✓"))))))</f>
        <v/>
      </c>
      <c r="N339" t="str">
        <f>IF(OR(B339="Acquisto",B339="Vendita"),COUNTIFS($C$5:C339,C339,$B$5:B339,"Acquisto")+COUNTIFS($C$5:C339,C339,$B$5:B339,"Vendita"),"")</f>
        <v/>
      </c>
      <c r="O339" t="str">
        <f>IF(N339="","",C339&amp;"|"&amp;N339)</f>
        <v/>
      </c>
      <c r="P339" t="str">
        <f>IF(N339="","",IF(N339=1,0,MATCH(C339&amp;"|"&amp;(N339-1),$O$5:$O$1004,0)))</f>
        <v/>
      </c>
      <c r="Q339" t="str">
        <f>IF(N339="","",IF(P339=0,SUMIFS(Calcoli!$C$7:$C$21,Calcoli!$A$7:$A$21,C339),INDEX($S$5:$S$1004,P339)))</f>
        <v/>
      </c>
      <c r="R339" t="str">
        <f>IF(N339="","",IF(P339=0,SUMIFS(Calcoli!$D$7:$D$21,Calcoli!$A$7:$A$21,C339),INDEX($T$5:$T$1004,P339)))</f>
        <v/>
      </c>
      <c r="S339" t="str">
        <f>IF(N339="","",IF(B339="Acquisto",Q339+N(D339),MAX(0,Q339-N(D339))))</f>
        <v/>
      </c>
      <c r="T339" t="str">
        <f>IF(N339="","",IF(B339="Acquisto",R339+J339+N(G339),IF(Q339&lt;=0,0,R339*(1-MIN(1,N(D339)/Q339)))))</f>
        <v/>
      </c>
      <c r="U339" t="str">
        <f>IF(B339&lt;&gt;"Vendita","",J339-N(G339)-IF(Q339&lt;=0,0,R339*MIN(1,N(D339)/Q339)))</f>
        <v/>
      </c>
      <c r="V339" t="str">
        <f>IF(B339&lt;&gt;"Dividendo","",IF(Calcoli!$B$251=1,J339,L339))</f>
        <v/>
      </c>
      <c r="W339" t="str">
        <f>IF(AND(V339&lt;&gt;"",ISNUMBER(A339)),A339,"")</f>
        <v/>
      </c>
    </row>
    <row r="340">
      <c r="A340" s="134" t="n"/>
      <c r="B340" s="116" t="n"/>
      <c r="C340" s="116" t="n"/>
      <c r="D340" s="121" t="n"/>
      <c r="E340" s="120" t="n"/>
      <c r="F340" s="120" t="n"/>
      <c r="G340" s="120" t="n"/>
      <c r="H340" s="120" t="n"/>
      <c r="I340" s="117" t="n"/>
      <c r="J340" s="123" t="str">
        <f>IF(B340="","",IF(F340&lt;&gt;"",N(F340),ROUND(N(D340)*N(E340),2)))</f>
        <v/>
      </c>
      <c r="K340" s="123" t="str">
        <f>IF(B340="","",IF(H340&lt;&gt;"",N(H340),IF(B340="Dividendo",ROUND(J340*IFERROR(INDEX(Calcoli!$V$7:$V$21,MATCH(C340,Calcoli!$A$7:$A$21,0)),0.26),2),IF(B340="Vendita",ROUND(MAX(0,U340)*IFERROR(INDEX(Calcoli!$V$7:$V$21,MATCH(C340,Calcoli!$A$7:$A$21,0)),0.26),2),0))))</f>
        <v/>
      </c>
      <c r="L340" s="135" t="str">
        <f>IF(B340="","",IF(B340="Acquisto",-(J340+N(G340)),J340-N(G340)-K340))</f>
        <v/>
      </c>
      <c r="M340" s="127" t="str">
        <f>IF(B340="","",IF(ISNA(MATCH(C340,ETF!$A$7:$A$21,0)),"ETF?",IF(NOT(ISNUMBER(A340)),"Data?",IF(AND(B340&lt;&gt;"Dividendo",N(D340)&lt;=0),"Quote?",IF(AND(B340="Vendita",N(D340)&gt;N(Q340)+0.000001),"Quote?",IF(J340&lt;=0,"Importo?","✓"))))))</f>
        <v/>
      </c>
      <c r="N340" t="str">
        <f>IF(OR(B340="Acquisto",B340="Vendita"),COUNTIFS($C$5:C340,C340,$B$5:B340,"Acquisto")+COUNTIFS($C$5:C340,C340,$B$5:B340,"Vendita"),"")</f>
        <v/>
      </c>
      <c r="O340" t="str">
        <f>IF(N340="","",C340&amp;"|"&amp;N340)</f>
        <v/>
      </c>
      <c r="P340" t="str">
        <f>IF(N340="","",IF(N340=1,0,MATCH(C340&amp;"|"&amp;(N340-1),$O$5:$O$1004,0)))</f>
        <v/>
      </c>
      <c r="Q340" t="str">
        <f>IF(N340="","",IF(P340=0,SUMIFS(Calcoli!$C$7:$C$21,Calcoli!$A$7:$A$21,C340),INDEX($S$5:$S$1004,P340)))</f>
        <v/>
      </c>
      <c r="R340" t="str">
        <f>IF(N340="","",IF(P340=0,SUMIFS(Calcoli!$D$7:$D$21,Calcoli!$A$7:$A$21,C340),INDEX($T$5:$T$1004,P340)))</f>
        <v/>
      </c>
      <c r="S340" t="str">
        <f>IF(N340="","",IF(B340="Acquisto",Q340+N(D340),MAX(0,Q340-N(D340))))</f>
        <v/>
      </c>
      <c r="T340" t="str">
        <f>IF(N340="","",IF(B340="Acquisto",R340+J340+N(G340),IF(Q340&lt;=0,0,R340*(1-MIN(1,N(D340)/Q340)))))</f>
        <v/>
      </c>
      <c r="U340" t="str">
        <f>IF(B340&lt;&gt;"Vendita","",J340-N(G340)-IF(Q340&lt;=0,0,R340*MIN(1,N(D340)/Q340)))</f>
        <v/>
      </c>
      <c r="V340" t="str">
        <f>IF(B340&lt;&gt;"Dividendo","",IF(Calcoli!$B$251=1,J340,L340))</f>
        <v/>
      </c>
      <c r="W340" t="str">
        <f>IF(AND(V340&lt;&gt;"",ISNUMBER(A340)),A340,"")</f>
        <v/>
      </c>
    </row>
    <row r="341">
      <c r="A341" s="134" t="n"/>
      <c r="B341" s="116" t="n"/>
      <c r="C341" s="116" t="n"/>
      <c r="D341" s="121" t="n"/>
      <c r="E341" s="120" t="n"/>
      <c r="F341" s="120" t="n"/>
      <c r="G341" s="120" t="n"/>
      <c r="H341" s="120" t="n"/>
      <c r="I341" s="117" t="n"/>
      <c r="J341" s="123" t="str">
        <f>IF(B341="","",IF(F341&lt;&gt;"",N(F341),ROUND(N(D341)*N(E341),2)))</f>
        <v/>
      </c>
      <c r="K341" s="123" t="str">
        <f>IF(B341="","",IF(H341&lt;&gt;"",N(H341),IF(B341="Dividendo",ROUND(J341*IFERROR(INDEX(Calcoli!$V$7:$V$21,MATCH(C341,Calcoli!$A$7:$A$21,0)),0.26),2),IF(B341="Vendita",ROUND(MAX(0,U341)*IFERROR(INDEX(Calcoli!$V$7:$V$21,MATCH(C341,Calcoli!$A$7:$A$21,0)),0.26),2),0))))</f>
        <v/>
      </c>
      <c r="L341" s="135" t="str">
        <f>IF(B341="","",IF(B341="Acquisto",-(J341+N(G341)),J341-N(G341)-K341))</f>
        <v/>
      </c>
      <c r="M341" s="127" t="str">
        <f>IF(B341="","",IF(ISNA(MATCH(C341,ETF!$A$7:$A$21,0)),"ETF?",IF(NOT(ISNUMBER(A341)),"Data?",IF(AND(B341&lt;&gt;"Dividendo",N(D341)&lt;=0),"Quote?",IF(AND(B341="Vendita",N(D341)&gt;N(Q341)+0.000001),"Quote?",IF(J341&lt;=0,"Importo?","✓"))))))</f>
        <v/>
      </c>
      <c r="N341" t="str">
        <f>IF(OR(B341="Acquisto",B341="Vendita"),COUNTIFS($C$5:C341,C341,$B$5:B341,"Acquisto")+COUNTIFS($C$5:C341,C341,$B$5:B341,"Vendita"),"")</f>
        <v/>
      </c>
      <c r="O341" t="str">
        <f>IF(N341="","",C341&amp;"|"&amp;N341)</f>
        <v/>
      </c>
      <c r="P341" t="str">
        <f>IF(N341="","",IF(N341=1,0,MATCH(C341&amp;"|"&amp;(N341-1),$O$5:$O$1004,0)))</f>
        <v/>
      </c>
      <c r="Q341" t="str">
        <f>IF(N341="","",IF(P341=0,SUMIFS(Calcoli!$C$7:$C$21,Calcoli!$A$7:$A$21,C341),INDEX($S$5:$S$1004,P341)))</f>
        <v/>
      </c>
      <c r="R341" t="str">
        <f>IF(N341="","",IF(P341=0,SUMIFS(Calcoli!$D$7:$D$21,Calcoli!$A$7:$A$21,C341),INDEX($T$5:$T$1004,P341)))</f>
        <v/>
      </c>
      <c r="S341" t="str">
        <f>IF(N341="","",IF(B341="Acquisto",Q341+N(D341),MAX(0,Q341-N(D341))))</f>
        <v/>
      </c>
      <c r="T341" t="str">
        <f>IF(N341="","",IF(B341="Acquisto",R341+J341+N(G341),IF(Q341&lt;=0,0,R341*(1-MIN(1,N(D341)/Q341)))))</f>
        <v/>
      </c>
      <c r="U341" t="str">
        <f>IF(B341&lt;&gt;"Vendita","",J341-N(G341)-IF(Q341&lt;=0,0,R341*MIN(1,N(D341)/Q341)))</f>
        <v/>
      </c>
      <c r="V341" t="str">
        <f>IF(B341&lt;&gt;"Dividendo","",IF(Calcoli!$B$251=1,J341,L341))</f>
        <v/>
      </c>
      <c r="W341" t="str">
        <f>IF(AND(V341&lt;&gt;"",ISNUMBER(A341)),A341,"")</f>
        <v/>
      </c>
    </row>
    <row r="342">
      <c r="A342" s="134" t="n"/>
      <c r="B342" s="116" t="n"/>
      <c r="C342" s="116" t="n"/>
      <c r="D342" s="121" t="n"/>
      <c r="E342" s="120" t="n"/>
      <c r="F342" s="120" t="n"/>
      <c r="G342" s="120" t="n"/>
      <c r="H342" s="120" t="n"/>
      <c r="I342" s="117" t="n"/>
      <c r="J342" s="123" t="str">
        <f>IF(B342="","",IF(F342&lt;&gt;"",N(F342),ROUND(N(D342)*N(E342),2)))</f>
        <v/>
      </c>
      <c r="K342" s="123" t="str">
        <f>IF(B342="","",IF(H342&lt;&gt;"",N(H342),IF(B342="Dividendo",ROUND(J342*IFERROR(INDEX(Calcoli!$V$7:$V$21,MATCH(C342,Calcoli!$A$7:$A$21,0)),0.26),2),IF(B342="Vendita",ROUND(MAX(0,U342)*IFERROR(INDEX(Calcoli!$V$7:$V$21,MATCH(C342,Calcoli!$A$7:$A$21,0)),0.26),2),0))))</f>
        <v/>
      </c>
      <c r="L342" s="135" t="str">
        <f>IF(B342="","",IF(B342="Acquisto",-(J342+N(G342)),J342-N(G342)-K342))</f>
        <v/>
      </c>
      <c r="M342" s="127" t="str">
        <f>IF(B342="","",IF(ISNA(MATCH(C342,ETF!$A$7:$A$21,0)),"ETF?",IF(NOT(ISNUMBER(A342)),"Data?",IF(AND(B342&lt;&gt;"Dividendo",N(D342)&lt;=0),"Quote?",IF(AND(B342="Vendita",N(D342)&gt;N(Q342)+0.000001),"Quote?",IF(J342&lt;=0,"Importo?","✓"))))))</f>
        <v/>
      </c>
      <c r="N342" t="str">
        <f>IF(OR(B342="Acquisto",B342="Vendita"),COUNTIFS($C$5:C342,C342,$B$5:B342,"Acquisto")+COUNTIFS($C$5:C342,C342,$B$5:B342,"Vendita"),"")</f>
        <v/>
      </c>
      <c r="O342" t="str">
        <f>IF(N342="","",C342&amp;"|"&amp;N342)</f>
        <v/>
      </c>
      <c r="P342" t="str">
        <f>IF(N342="","",IF(N342=1,0,MATCH(C342&amp;"|"&amp;(N342-1),$O$5:$O$1004,0)))</f>
        <v/>
      </c>
      <c r="Q342" t="str">
        <f>IF(N342="","",IF(P342=0,SUMIFS(Calcoli!$C$7:$C$21,Calcoli!$A$7:$A$21,C342),INDEX($S$5:$S$1004,P342)))</f>
        <v/>
      </c>
      <c r="R342" t="str">
        <f>IF(N342="","",IF(P342=0,SUMIFS(Calcoli!$D$7:$D$21,Calcoli!$A$7:$A$21,C342),INDEX($T$5:$T$1004,P342)))</f>
        <v/>
      </c>
      <c r="S342" t="str">
        <f>IF(N342="","",IF(B342="Acquisto",Q342+N(D342),MAX(0,Q342-N(D342))))</f>
        <v/>
      </c>
      <c r="T342" t="str">
        <f>IF(N342="","",IF(B342="Acquisto",R342+J342+N(G342),IF(Q342&lt;=0,0,R342*(1-MIN(1,N(D342)/Q342)))))</f>
        <v/>
      </c>
      <c r="U342" t="str">
        <f>IF(B342&lt;&gt;"Vendita","",J342-N(G342)-IF(Q342&lt;=0,0,R342*MIN(1,N(D342)/Q342)))</f>
        <v/>
      </c>
      <c r="V342" t="str">
        <f>IF(B342&lt;&gt;"Dividendo","",IF(Calcoli!$B$251=1,J342,L342))</f>
        <v/>
      </c>
      <c r="W342" t="str">
        <f>IF(AND(V342&lt;&gt;"",ISNUMBER(A342)),A342,"")</f>
        <v/>
      </c>
    </row>
    <row r="343">
      <c r="A343" s="134" t="n"/>
      <c r="B343" s="116" t="n"/>
      <c r="C343" s="116" t="n"/>
      <c r="D343" s="121" t="n"/>
      <c r="E343" s="120" t="n"/>
      <c r="F343" s="120" t="n"/>
      <c r="G343" s="120" t="n"/>
      <c r="H343" s="120" t="n"/>
      <c r="I343" s="117" t="n"/>
      <c r="J343" s="123" t="str">
        <f>IF(B343="","",IF(F343&lt;&gt;"",N(F343),ROUND(N(D343)*N(E343),2)))</f>
        <v/>
      </c>
      <c r="K343" s="123" t="str">
        <f>IF(B343="","",IF(H343&lt;&gt;"",N(H343),IF(B343="Dividendo",ROUND(J343*IFERROR(INDEX(Calcoli!$V$7:$V$21,MATCH(C343,Calcoli!$A$7:$A$21,0)),0.26),2),IF(B343="Vendita",ROUND(MAX(0,U343)*IFERROR(INDEX(Calcoli!$V$7:$V$21,MATCH(C343,Calcoli!$A$7:$A$21,0)),0.26),2),0))))</f>
        <v/>
      </c>
      <c r="L343" s="135" t="str">
        <f>IF(B343="","",IF(B343="Acquisto",-(J343+N(G343)),J343-N(G343)-K343))</f>
        <v/>
      </c>
      <c r="M343" s="127" t="str">
        <f>IF(B343="","",IF(ISNA(MATCH(C343,ETF!$A$7:$A$21,0)),"ETF?",IF(NOT(ISNUMBER(A343)),"Data?",IF(AND(B343&lt;&gt;"Dividendo",N(D343)&lt;=0),"Quote?",IF(AND(B343="Vendita",N(D343)&gt;N(Q343)+0.000001),"Quote?",IF(J343&lt;=0,"Importo?","✓"))))))</f>
        <v/>
      </c>
      <c r="N343" t="str">
        <f>IF(OR(B343="Acquisto",B343="Vendita"),COUNTIFS($C$5:C343,C343,$B$5:B343,"Acquisto")+COUNTIFS($C$5:C343,C343,$B$5:B343,"Vendita"),"")</f>
        <v/>
      </c>
      <c r="O343" t="str">
        <f>IF(N343="","",C343&amp;"|"&amp;N343)</f>
        <v/>
      </c>
      <c r="P343" t="str">
        <f>IF(N343="","",IF(N343=1,0,MATCH(C343&amp;"|"&amp;(N343-1),$O$5:$O$1004,0)))</f>
        <v/>
      </c>
      <c r="Q343" t="str">
        <f>IF(N343="","",IF(P343=0,SUMIFS(Calcoli!$C$7:$C$21,Calcoli!$A$7:$A$21,C343),INDEX($S$5:$S$1004,P343)))</f>
        <v/>
      </c>
      <c r="R343" t="str">
        <f>IF(N343="","",IF(P343=0,SUMIFS(Calcoli!$D$7:$D$21,Calcoli!$A$7:$A$21,C343),INDEX($T$5:$T$1004,P343)))</f>
        <v/>
      </c>
      <c r="S343" t="str">
        <f>IF(N343="","",IF(B343="Acquisto",Q343+N(D343),MAX(0,Q343-N(D343))))</f>
        <v/>
      </c>
      <c r="T343" t="str">
        <f>IF(N343="","",IF(B343="Acquisto",R343+J343+N(G343),IF(Q343&lt;=0,0,R343*(1-MIN(1,N(D343)/Q343)))))</f>
        <v/>
      </c>
      <c r="U343" t="str">
        <f>IF(B343&lt;&gt;"Vendita","",J343-N(G343)-IF(Q343&lt;=0,0,R343*MIN(1,N(D343)/Q343)))</f>
        <v/>
      </c>
      <c r="V343" t="str">
        <f>IF(B343&lt;&gt;"Dividendo","",IF(Calcoli!$B$251=1,J343,L343))</f>
        <v/>
      </c>
      <c r="W343" t="str">
        <f>IF(AND(V343&lt;&gt;"",ISNUMBER(A343)),A343,"")</f>
        <v/>
      </c>
    </row>
    <row r="344">
      <c r="A344" s="134" t="n"/>
      <c r="B344" s="116" t="n"/>
      <c r="C344" s="116" t="n"/>
      <c r="D344" s="121" t="n"/>
      <c r="E344" s="120" t="n"/>
      <c r="F344" s="120" t="n"/>
      <c r="G344" s="120" t="n"/>
      <c r="H344" s="120" t="n"/>
      <c r="I344" s="117" t="n"/>
      <c r="J344" s="123" t="str">
        <f>IF(B344="","",IF(F344&lt;&gt;"",N(F344),ROUND(N(D344)*N(E344),2)))</f>
        <v/>
      </c>
      <c r="K344" s="123" t="str">
        <f>IF(B344="","",IF(H344&lt;&gt;"",N(H344),IF(B344="Dividendo",ROUND(J344*IFERROR(INDEX(Calcoli!$V$7:$V$21,MATCH(C344,Calcoli!$A$7:$A$21,0)),0.26),2),IF(B344="Vendita",ROUND(MAX(0,U344)*IFERROR(INDEX(Calcoli!$V$7:$V$21,MATCH(C344,Calcoli!$A$7:$A$21,0)),0.26),2),0))))</f>
        <v/>
      </c>
      <c r="L344" s="135" t="str">
        <f>IF(B344="","",IF(B344="Acquisto",-(J344+N(G344)),J344-N(G344)-K344))</f>
        <v/>
      </c>
      <c r="M344" s="127" t="str">
        <f>IF(B344="","",IF(ISNA(MATCH(C344,ETF!$A$7:$A$21,0)),"ETF?",IF(NOT(ISNUMBER(A344)),"Data?",IF(AND(B344&lt;&gt;"Dividendo",N(D344)&lt;=0),"Quote?",IF(AND(B344="Vendita",N(D344)&gt;N(Q344)+0.000001),"Quote?",IF(J344&lt;=0,"Importo?","✓"))))))</f>
        <v/>
      </c>
      <c r="N344" t="str">
        <f>IF(OR(B344="Acquisto",B344="Vendita"),COUNTIFS($C$5:C344,C344,$B$5:B344,"Acquisto")+COUNTIFS($C$5:C344,C344,$B$5:B344,"Vendita"),"")</f>
        <v/>
      </c>
      <c r="O344" t="str">
        <f>IF(N344="","",C344&amp;"|"&amp;N344)</f>
        <v/>
      </c>
      <c r="P344" t="str">
        <f>IF(N344="","",IF(N344=1,0,MATCH(C344&amp;"|"&amp;(N344-1),$O$5:$O$1004,0)))</f>
        <v/>
      </c>
      <c r="Q344" t="str">
        <f>IF(N344="","",IF(P344=0,SUMIFS(Calcoli!$C$7:$C$21,Calcoli!$A$7:$A$21,C344),INDEX($S$5:$S$1004,P344)))</f>
        <v/>
      </c>
      <c r="R344" t="str">
        <f>IF(N344="","",IF(P344=0,SUMIFS(Calcoli!$D$7:$D$21,Calcoli!$A$7:$A$21,C344),INDEX($T$5:$T$1004,P344)))</f>
        <v/>
      </c>
      <c r="S344" t="str">
        <f>IF(N344="","",IF(B344="Acquisto",Q344+N(D344),MAX(0,Q344-N(D344))))</f>
        <v/>
      </c>
      <c r="T344" t="str">
        <f>IF(N344="","",IF(B344="Acquisto",R344+J344+N(G344),IF(Q344&lt;=0,0,R344*(1-MIN(1,N(D344)/Q344)))))</f>
        <v/>
      </c>
      <c r="U344" t="str">
        <f>IF(B344&lt;&gt;"Vendita","",J344-N(G344)-IF(Q344&lt;=0,0,R344*MIN(1,N(D344)/Q344)))</f>
        <v/>
      </c>
      <c r="V344" t="str">
        <f>IF(B344&lt;&gt;"Dividendo","",IF(Calcoli!$B$251=1,J344,L344))</f>
        <v/>
      </c>
      <c r="W344" t="str">
        <f>IF(AND(V344&lt;&gt;"",ISNUMBER(A344)),A344,"")</f>
        <v/>
      </c>
    </row>
    <row r="345">
      <c r="A345" s="134" t="n"/>
      <c r="B345" s="116" t="n"/>
      <c r="C345" s="116" t="n"/>
      <c r="D345" s="121" t="n"/>
      <c r="E345" s="120" t="n"/>
      <c r="F345" s="120" t="n"/>
      <c r="G345" s="120" t="n"/>
      <c r="H345" s="120" t="n"/>
      <c r="I345" s="117" t="n"/>
      <c r="J345" s="123" t="str">
        <f>IF(B345="","",IF(F345&lt;&gt;"",N(F345),ROUND(N(D345)*N(E345),2)))</f>
        <v/>
      </c>
      <c r="K345" s="123" t="str">
        <f>IF(B345="","",IF(H345&lt;&gt;"",N(H345),IF(B345="Dividendo",ROUND(J345*IFERROR(INDEX(Calcoli!$V$7:$V$21,MATCH(C345,Calcoli!$A$7:$A$21,0)),0.26),2),IF(B345="Vendita",ROUND(MAX(0,U345)*IFERROR(INDEX(Calcoli!$V$7:$V$21,MATCH(C345,Calcoli!$A$7:$A$21,0)),0.26),2),0))))</f>
        <v/>
      </c>
      <c r="L345" s="135" t="str">
        <f>IF(B345="","",IF(B345="Acquisto",-(J345+N(G345)),J345-N(G345)-K345))</f>
        <v/>
      </c>
      <c r="M345" s="127" t="str">
        <f>IF(B345="","",IF(ISNA(MATCH(C345,ETF!$A$7:$A$21,0)),"ETF?",IF(NOT(ISNUMBER(A345)),"Data?",IF(AND(B345&lt;&gt;"Dividendo",N(D345)&lt;=0),"Quote?",IF(AND(B345="Vendita",N(D345)&gt;N(Q345)+0.000001),"Quote?",IF(J345&lt;=0,"Importo?","✓"))))))</f>
        <v/>
      </c>
      <c r="N345" t="str">
        <f>IF(OR(B345="Acquisto",B345="Vendita"),COUNTIFS($C$5:C345,C345,$B$5:B345,"Acquisto")+COUNTIFS($C$5:C345,C345,$B$5:B345,"Vendita"),"")</f>
        <v/>
      </c>
      <c r="O345" t="str">
        <f>IF(N345="","",C345&amp;"|"&amp;N345)</f>
        <v/>
      </c>
      <c r="P345" t="str">
        <f>IF(N345="","",IF(N345=1,0,MATCH(C345&amp;"|"&amp;(N345-1),$O$5:$O$1004,0)))</f>
        <v/>
      </c>
      <c r="Q345" t="str">
        <f>IF(N345="","",IF(P345=0,SUMIFS(Calcoli!$C$7:$C$21,Calcoli!$A$7:$A$21,C345),INDEX($S$5:$S$1004,P345)))</f>
        <v/>
      </c>
      <c r="R345" t="str">
        <f>IF(N345="","",IF(P345=0,SUMIFS(Calcoli!$D$7:$D$21,Calcoli!$A$7:$A$21,C345),INDEX($T$5:$T$1004,P345)))</f>
        <v/>
      </c>
      <c r="S345" t="str">
        <f>IF(N345="","",IF(B345="Acquisto",Q345+N(D345),MAX(0,Q345-N(D345))))</f>
        <v/>
      </c>
      <c r="T345" t="str">
        <f>IF(N345="","",IF(B345="Acquisto",R345+J345+N(G345),IF(Q345&lt;=0,0,R345*(1-MIN(1,N(D345)/Q345)))))</f>
        <v/>
      </c>
      <c r="U345" t="str">
        <f>IF(B345&lt;&gt;"Vendita","",J345-N(G345)-IF(Q345&lt;=0,0,R345*MIN(1,N(D345)/Q345)))</f>
        <v/>
      </c>
      <c r="V345" t="str">
        <f>IF(B345&lt;&gt;"Dividendo","",IF(Calcoli!$B$251=1,J345,L345))</f>
        <v/>
      </c>
      <c r="W345" t="str">
        <f>IF(AND(V345&lt;&gt;"",ISNUMBER(A345)),A345,"")</f>
        <v/>
      </c>
    </row>
    <row r="346">
      <c r="A346" s="134" t="n"/>
      <c r="B346" s="116" t="n"/>
      <c r="C346" s="116" t="n"/>
      <c r="D346" s="121" t="n"/>
      <c r="E346" s="120" t="n"/>
      <c r="F346" s="120" t="n"/>
      <c r="G346" s="120" t="n"/>
      <c r="H346" s="120" t="n"/>
      <c r="I346" s="117" t="n"/>
      <c r="J346" s="123" t="str">
        <f>IF(B346="","",IF(F346&lt;&gt;"",N(F346),ROUND(N(D346)*N(E346),2)))</f>
        <v/>
      </c>
      <c r="K346" s="123" t="str">
        <f>IF(B346="","",IF(H346&lt;&gt;"",N(H346),IF(B346="Dividendo",ROUND(J346*IFERROR(INDEX(Calcoli!$V$7:$V$21,MATCH(C346,Calcoli!$A$7:$A$21,0)),0.26),2),IF(B346="Vendita",ROUND(MAX(0,U346)*IFERROR(INDEX(Calcoli!$V$7:$V$21,MATCH(C346,Calcoli!$A$7:$A$21,0)),0.26),2),0))))</f>
        <v/>
      </c>
      <c r="L346" s="135" t="str">
        <f>IF(B346="","",IF(B346="Acquisto",-(J346+N(G346)),J346-N(G346)-K346))</f>
        <v/>
      </c>
      <c r="M346" s="127" t="str">
        <f>IF(B346="","",IF(ISNA(MATCH(C346,ETF!$A$7:$A$21,0)),"ETF?",IF(NOT(ISNUMBER(A346)),"Data?",IF(AND(B346&lt;&gt;"Dividendo",N(D346)&lt;=0),"Quote?",IF(AND(B346="Vendita",N(D346)&gt;N(Q346)+0.000001),"Quote?",IF(J346&lt;=0,"Importo?","✓"))))))</f>
        <v/>
      </c>
      <c r="N346" t="str">
        <f>IF(OR(B346="Acquisto",B346="Vendita"),COUNTIFS($C$5:C346,C346,$B$5:B346,"Acquisto")+COUNTIFS($C$5:C346,C346,$B$5:B346,"Vendita"),"")</f>
        <v/>
      </c>
      <c r="O346" t="str">
        <f>IF(N346="","",C346&amp;"|"&amp;N346)</f>
        <v/>
      </c>
      <c r="P346" t="str">
        <f>IF(N346="","",IF(N346=1,0,MATCH(C346&amp;"|"&amp;(N346-1),$O$5:$O$1004,0)))</f>
        <v/>
      </c>
      <c r="Q346" t="str">
        <f>IF(N346="","",IF(P346=0,SUMIFS(Calcoli!$C$7:$C$21,Calcoli!$A$7:$A$21,C346),INDEX($S$5:$S$1004,P346)))</f>
        <v/>
      </c>
      <c r="R346" t="str">
        <f>IF(N346="","",IF(P346=0,SUMIFS(Calcoli!$D$7:$D$21,Calcoli!$A$7:$A$21,C346),INDEX($T$5:$T$1004,P346)))</f>
        <v/>
      </c>
      <c r="S346" t="str">
        <f>IF(N346="","",IF(B346="Acquisto",Q346+N(D346),MAX(0,Q346-N(D346))))</f>
        <v/>
      </c>
      <c r="T346" t="str">
        <f>IF(N346="","",IF(B346="Acquisto",R346+J346+N(G346),IF(Q346&lt;=0,0,R346*(1-MIN(1,N(D346)/Q346)))))</f>
        <v/>
      </c>
      <c r="U346" t="str">
        <f>IF(B346&lt;&gt;"Vendita","",J346-N(G346)-IF(Q346&lt;=0,0,R346*MIN(1,N(D346)/Q346)))</f>
        <v/>
      </c>
      <c r="V346" t="str">
        <f>IF(B346&lt;&gt;"Dividendo","",IF(Calcoli!$B$251=1,J346,L346))</f>
        <v/>
      </c>
      <c r="W346" t="str">
        <f>IF(AND(V346&lt;&gt;"",ISNUMBER(A346)),A346,"")</f>
        <v/>
      </c>
    </row>
    <row r="347">
      <c r="A347" s="134" t="n"/>
      <c r="B347" s="116" t="n"/>
      <c r="C347" s="116" t="n"/>
      <c r="D347" s="121" t="n"/>
      <c r="E347" s="120" t="n"/>
      <c r="F347" s="120" t="n"/>
      <c r="G347" s="120" t="n"/>
      <c r="H347" s="120" t="n"/>
      <c r="I347" s="117" t="n"/>
      <c r="J347" s="123" t="str">
        <f>IF(B347="","",IF(F347&lt;&gt;"",N(F347),ROUND(N(D347)*N(E347),2)))</f>
        <v/>
      </c>
      <c r="K347" s="123" t="str">
        <f>IF(B347="","",IF(H347&lt;&gt;"",N(H347),IF(B347="Dividendo",ROUND(J347*IFERROR(INDEX(Calcoli!$V$7:$V$21,MATCH(C347,Calcoli!$A$7:$A$21,0)),0.26),2),IF(B347="Vendita",ROUND(MAX(0,U347)*IFERROR(INDEX(Calcoli!$V$7:$V$21,MATCH(C347,Calcoli!$A$7:$A$21,0)),0.26),2),0))))</f>
        <v/>
      </c>
      <c r="L347" s="135" t="str">
        <f>IF(B347="","",IF(B347="Acquisto",-(J347+N(G347)),J347-N(G347)-K347))</f>
        <v/>
      </c>
      <c r="M347" s="127" t="str">
        <f>IF(B347="","",IF(ISNA(MATCH(C347,ETF!$A$7:$A$21,0)),"ETF?",IF(NOT(ISNUMBER(A347)),"Data?",IF(AND(B347&lt;&gt;"Dividendo",N(D347)&lt;=0),"Quote?",IF(AND(B347="Vendita",N(D347)&gt;N(Q347)+0.000001),"Quote?",IF(J347&lt;=0,"Importo?","✓"))))))</f>
        <v/>
      </c>
      <c r="N347" t="str">
        <f>IF(OR(B347="Acquisto",B347="Vendita"),COUNTIFS($C$5:C347,C347,$B$5:B347,"Acquisto")+COUNTIFS($C$5:C347,C347,$B$5:B347,"Vendita"),"")</f>
        <v/>
      </c>
      <c r="O347" t="str">
        <f>IF(N347="","",C347&amp;"|"&amp;N347)</f>
        <v/>
      </c>
      <c r="P347" t="str">
        <f>IF(N347="","",IF(N347=1,0,MATCH(C347&amp;"|"&amp;(N347-1),$O$5:$O$1004,0)))</f>
        <v/>
      </c>
      <c r="Q347" t="str">
        <f>IF(N347="","",IF(P347=0,SUMIFS(Calcoli!$C$7:$C$21,Calcoli!$A$7:$A$21,C347),INDEX($S$5:$S$1004,P347)))</f>
        <v/>
      </c>
      <c r="R347" t="str">
        <f>IF(N347="","",IF(P347=0,SUMIFS(Calcoli!$D$7:$D$21,Calcoli!$A$7:$A$21,C347),INDEX($T$5:$T$1004,P347)))</f>
        <v/>
      </c>
      <c r="S347" t="str">
        <f>IF(N347="","",IF(B347="Acquisto",Q347+N(D347),MAX(0,Q347-N(D347))))</f>
        <v/>
      </c>
      <c r="T347" t="str">
        <f>IF(N347="","",IF(B347="Acquisto",R347+J347+N(G347),IF(Q347&lt;=0,0,R347*(1-MIN(1,N(D347)/Q347)))))</f>
        <v/>
      </c>
      <c r="U347" t="str">
        <f>IF(B347&lt;&gt;"Vendita","",J347-N(G347)-IF(Q347&lt;=0,0,R347*MIN(1,N(D347)/Q347)))</f>
        <v/>
      </c>
      <c r="V347" t="str">
        <f>IF(B347&lt;&gt;"Dividendo","",IF(Calcoli!$B$251=1,J347,L347))</f>
        <v/>
      </c>
      <c r="W347" t="str">
        <f>IF(AND(V347&lt;&gt;"",ISNUMBER(A347)),A347,"")</f>
        <v/>
      </c>
    </row>
    <row r="348">
      <c r="A348" s="134" t="n"/>
      <c r="B348" s="116" t="n"/>
      <c r="C348" s="116" t="n"/>
      <c r="D348" s="121" t="n"/>
      <c r="E348" s="120" t="n"/>
      <c r="F348" s="120" t="n"/>
      <c r="G348" s="120" t="n"/>
      <c r="H348" s="120" t="n"/>
      <c r="I348" s="117" t="n"/>
      <c r="J348" s="123" t="str">
        <f>IF(B348="","",IF(F348&lt;&gt;"",N(F348),ROUND(N(D348)*N(E348),2)))</f>
        <v/>
      </c>
      <c r="K348" s="123" t="str">
        <f>IF(B348="","",IF(H348&lt;&gt;"",N(H348),IF(B348="Dividendo",ROUND(J348*IFERROR(INDEX(Calcoli!$V$7:$V$21,MATCH(C348,Calcoli!$A$7:$A$21,0)),0.26),2),IF(B348="Vendita",ROUND(MAX(0,U348)*IFERROR(INDEX(Calcoli!$V$7:$V$21,MATCH(C348,Calcoli!$A$7:$A$21,0)),0.26),2),0))))</f>
        <v/>
      </c>
      <c r="L348" s="135" t="str">
        <f>IF(B348="","",IF(B348="Acquisto",-(J348+N(G348)),J348-N(G348)-K348))</f>
        <v/>
      </c>
      <c r="M348" s="127" t="str">
        <f>IF(B348="","",IF(ISNA(MATCH(C348,ETF!$A$7:$A$21,0)),"ETF?",IF(NOT(ISNUMBER(A348)),"Data?",IF(AND(B348&lt;&gt;"Dividendo",N(D348)&lt;=0),"Quote?",IF(AND(B348="Vendita",N(D348)&gt;N(Q348)+0.000001),"Quote?",IF(J348&lt;=0,"Importo?","✓"))))))</f>
        <v/>
      </c>
      <c r="N348" t="str">
        <f>IF(OR(B348="Acquisto",B348="Vendita"),COUNTIFS($C$5:C348,C348,$B$5:B348,"Acquisto")+COUNTIFS($C$5:C348,C348,$B$5:B348,"Vendita"),"")</f>
        <v/>
      </c>
      <c r="O348" t="str">
        <f>IF(N348="","",C348&amp;"|"&amp;N348)</f>
        <v/>
      </c>
      <c r="P348" t="str">
        <f>IF(N348="","",IF(N348=1,0,MATCH(C348&amp;"|"&amp;(N348-1),$O$5:$O$1004,0)))</f>
        <v/>
      </c>
      <c r="Q348" t="str">
        <f>IF(N348="","",IF(P348=0,SUMIFS(Calcoli!$C$7:$C$21,Calcoli!$A$7:$A$21,C348),INDEX($S$5:$S$1004,P348)))</f>
        <v/>
      </c>
      <c r="R348" t="str">
        <f>IF(N348="","",IF(P348=0,SUMIFS(Calcoli!$D$7:$D$21,Calcoli!$A$7:$A$21,C348),INDEX($T$5:$T$1004,P348)))</f>
        <v/>
      </c>
      <c r="S348" t="str">
        <f>IF(N348="","",IF(B348="Acquisto",Q348+N(D348),MAX(0,Q348-N(D348))))</f>
        <v/>
      </c>
      <c r="T348" t="str">
        <f>IF(N348="","",IF(B348="Acquisto",R348+J348+N(G348),IF(Q348&lt;=0,0,R348*(1-MIN(1,N(D348)/Q348)))))</f>
        <v/>
      </c>
      <c r="U348" t="str">
        <f>IF(B348&lt;&gt;"Vendita","",J348-N(G348)-IF(Q348&lt;=0,0,R348*MIN(1,N(D348)/Q348)))</f>
        <v/>
      </c>
      <c r="V348" t="str">
        <f>IF(B348&lt;&gt;"Dividendo","",IF(Calcoli!$B$251=1,J348,L348))</f>
        <v/>
      </c>
      <c r="W348" t="str">
        <f>IF(AND(V348&lt;&gt;"",ISNUMBER(A348)),A348,"")</f>
        <v/>
      </c>
    </row>
    <row r="349">
      <c r="A349" s="134" t="n"/>
      <c r="B349" s="116" t="n"/>
      <c r="C349" s="116" t="n"/>
      <c r="D349" s="121" t="n"/>
      <c r="E349" s="120" t="n"/>
      <c r="F349" s="120" t="n"/>
      <c r="G349" s="120" t="n"/>
      <c r="H349" s="120" t="n"/>
      <c r="I349" s="117" t="n"/>
      <c r="J349" s="123" t="str">
        <f>IF(B349="","",IF(F349&lt;&gt;"",N(F349),ROUND(N(D349)*N(E349),2)))</f>
        <v/>
      </c>
      <c r="K349" s="123" t="str">
        <f>IF(B349="","",IF(H349&lt;&gt;"",N(H349),IF(B349="Dividendo",ROUND(J349*IFERROR(INDEX(Calcoli!$V$7:$V$21,MATCH(C349,Calcoli!$A$7:$A$21,0)),0.26),2),IF(B349="Vendita",ROUND(MAX(0,U349)*IFERROR(INDEX(Calcoli!$V$7:$V$21,MATCH(C349,Calcoli!$A$7:$A$21,0)),0.26),2),0))))</f>
        <v/>
      </c>
      <c r="L349" s="135" t="str">
        <f>IF(B349="","",IF(B349="Acquisto",-(J349+N(G349)),J349-N(G349)-K349))</f>
        <v/>
      </c>
      <c r="M349" s="127" t="str">
        <f>IF(B349="","",IF(ISNA(MATCH(C349,ETF!$A$7:$A$21,0)),"ETF?",IF(NOT(ISNUMBER(A349)),"Data?",IF(AND(B349&lt;&gt;"Dividendo",N(D349)&lt;=0),"Quote?",IF(AND(B349="Vendita",N(D349)&gt;N(Q349)+0.000001),"Quote?",IF(J349&lt;=0,"Importo?","✓"))))))</f>
        <v/>
      </c>
      <c r="N349" t="str">
        <f>IF(OR(B349="Acquisto",B349="Vendita"),COUNTIFS($C$5:C349,C349,$B$5:B349,"Acquisto")+COUNTIFS($C$5:C349,C349,$B$5:B349,"Vendita"),"")</f>
        <v/>
      </c>
      <c r="O349" t="str">
        <f>IF(N349="","",C349&amp;"|"&amp;N349)</f>
        <v/>
      </c>
      <c r="P349" t="str">
        <f>IF(N349="","",IF(N349=1,0,MATCH(C349&amp;"|"&amp;(N349-1),$O$5:$O$1004,0)))</f>
        <v/>
      </c>
      <c r="Q349" t="str">
        <f>IF(N349="","",IF(P349=0,SUMIFS(Calcoli!$C$7:$C$21,Calcoli!$A$7:$A$21,C349),INDEX($S$5:$S$1004,P349)))</f>
        <v/>
      </c>
      <c r="R349" t="str">
        <f>IF(N349="","",IF(P349=0,SUMIFS(Calcoli!$D$7:$D$21,Calcoli!$A$7:$A$21,C349),INDEX($T$5:$T$1004,P349)))</f>
        <v/>
      </c>
      <c r="S349" t="str">
        <f>IF(N349="","",IF(B349="Acquisto",Q349+N(D349),MAX(0,Q349-N(D349))))</f>
        <v/>
      </c>
      <c r="T349" t="str">
        <f>IF(N349="","",IF(B349="Acquisto",R349+J349+N(G349),IF(Q349&lt;=0,0,R349*(1-MIN(1,N(D349)/Q349)))))</f>
        <v/>
      </c>
      <c r="U349" t="str">
        <f>IF(B349&lt;&gt;"Vendita","",J349-N(G349)-IF(Q349&lt;=0,0,R349*MIN(1,N(D349)/Q349)))</f>
        <v/>
      </c>
      <c r="V349" t="str">
        <f>IF(B349&lt;&gt;"Dividendo","",IF(Calcoli!$B$251=1,J349,L349))</f>
        <v/>
      </c>
      <c r="W349" t="str">
        <f>IF(AND(V349&lt;&gt;"",ISNUMBER(A349)),A349,"")</f>
        <v/>
      </c>
    </row>
    <row r="350">
      <c r="A350" s="134" t="n"/>
      <c r="B350" s="116" t="n"/>
      <c r="C350" s="116" t="n"/>
      <c r="D350" s="121" t="n"/>
      <c r="E350" s="120" t="n"/>
      <c r="F350" s="120" t="n"/>
      <c r="G350" s="120" t="n"/>
      <c r="H350" s="120" t="n"/>
      <c r="I350" s="117" t="n"/>
      <c r="J350" s="123" t="str">
        <f>IF(B350="","",IF(F350&lt;&gt;"",N(F350),ROUND(N(D350)*N(E350),2)))</f>
        <v/>
      </c>
      <c r="K350" s="123" t="str">
        <f>IF(B350="","",IF(H350&lt;&gt;"",N(H350),IF(B350="Dividendo",ROUND(J350*IFERROR(INDEX(Calcoli!$V$7:$V$21,MATCH(C350,Calcoli!$A$7:$A$21,0)),0.26),2),IF(B350="Vendita",ROUND(MAX(0,U350)*IFERROR(INDEX(Calcoli!$V$7:$V$21,MATCH(C350,Calcoli!$A$7:$A$21,0)),0.26),2),0))))</f>
        <v/>
      </c>
      <c r="L350" s="135" t="str">
        <f>IF(B350="","",IF(B350="Acquisto",-(J350+N(G350)),J350-N(G350)-K350))</f>
        <v/>
      </c>
      <c r="M350" s="127" t="str">
        <f>IF(B350="","",IF(ISNA(MATCH(C350,ETF!$A$7:$A$21,0)),"ETF?",IF(NOT(ISNUMBER(A350)),"Data?",IF(AND(B350&lt;&gt;"Dividendo",N(D350)&lt;=0),"Quote?",IF(AND(B350="Vendita",N(D350)&gt;N(Q350)+0.000001),"Quote?",IF(J350&lt;=0,"Importo?","✓"))))))</f>
        <v/>
      </c>
      <c r="N350" t="str">
        <f>IF(OR(B350="Acquisto",B350="Vendita"),COUNTIFS($C$5:C350,C350,$B$5:B350,"Acquisto")+COUNTIFS($C$5:C350,C350,$B$5:B350,"Vendita"),"")</f>
        <v/>
      </c>
      <c r="O350" t="str">
        <f>IF(N350="","",C350&amp;"|"&amp;N350)</f>
        <v/>
      </c>
      <c r="P350" t="str">
        <f>IF(N350="","",IF(N350=1,0,MATCH(C350&amp;"|"&amp;(N350-1),$O$5:$O$1004,0)))</f>
        <v/>
      </c>
      <c r="Q350" t="str">
        <f>IF(N350="","",IF(P350=0,SUMIFS(Calcoli!$C$7:$C$21,Calcoli!$A$7:$A$21,C350),INDEX($S$5:$S$1004,P350)))</f>
        <v/>
      </c>
      <c r="R350" t="str">
        <f>IF(N350="","",IF(P350=0,SUMIFS(Calcoli!$D$7:$D$21,Calcoli!$A$7:$A$21,C350),INDEX($T$5:$T$1004,P350)))</f>
        <v/>
      </c>
      <c r="S350" t="str">
        <f>IF(N350="","",IF(B350="Acquisto",Q350+N(D350),MAX(0,Q350-N(D350))))</f>
        <v/>
      </c>
      <c r="T350" t="str">
        <f>IF(N350="","",IF(B350="Acquisto",R350+J350+N(G350),IF(Q350&lt;=0,0,R350*(1-MIN(1,N(D350)/Q350)))))</f>
        <v/>
      </c>
      <c r="U350" t="str">
        <f>IF(B350&lt;&gt;"Vendita","",J350-N(G350)-IF(Q350&lt;=0,0,R350*MIN(1,N(D350)/Q350)))</f>
        <v/>
      </c>
      <c r="V350" t="str">
        <f>IF(B350&lt;&gt;"Dividendo","",IF(Calcoli!$B$251=1,J350,L350))</f>
        <v/>
      </c>
      <c r="W350" t="str">
        <f>IF(AND(V350&lt;&gt;"",ISNUMBER(A350)),A350,"")</f>
        <v/>
      </c>
    </row>
    <row r="351">
      <c r="A351" s="134" t="n"/>
      <c r="B351" s="116" t="n"/>
      <c r="C351" s="116" t="n"/>
      <c r="D351" s="121" t="n"/>
      <c r="E351" s="120" t="n"/>
      <c r="F351" s="120" t="n"/>
      <c r="G351" s="120" t="n"/>
      <c r="H351" s="120" t="n"/>
      <c r="I351" s="117" t="n"/>
      <c r="J351" s="123" t="str">
        <f>IF(B351="","",IF(F351&lt;&gt;"",N(F351),ROUND(N(D351)*N(E351),2)))</f>
        <v/>
      </c>
      <c r="K351" s="123" t="str">
        <f>IF(B351="","",IF(H351&lt;&gt;"",N(H351),IF(B351="Dividendo",ROUND(J351*IFERROR(INDEX(Calcoli!$V$7:$V$21,MATCH(C351,Calcoli!$A$7:$A$21,0)),0.26),2),IF(B351="Vendita",ROUND(MAX(0,U351)*IFERROR(INDEX(Calcoli!$V$7:$V$21,MATCH(C351,Calcoli!$A$7:$A$21,0)),0.26),2),0))))</f>
        <v/>
      </c>
      <c r="L351" s="135" t="str">
        <f>IF(B351="","",IF(B351="Acquisto",-(J351+N(G351)),J351-N(G351)-K351))</f>
        <v/>
      </c>
      <c r="M351" s="127" t="str">
        <f>IF(B351="","",IF(ISNA(MATCH(C351,ETF!$A$7:$A$21,0)),"ETF?",IF(NOT(ISNUMBER(A351)),"Data?",IF(AND(B351&lt;&gt;"Dividendo",N(D351)&lt;=0),"Quote?",IF(AND(B351="Vendita",N(D351)&gt;N(Q351)+0.000001),"Quote?",IF(J351&lt;=0,"Importo?","✓"))))))</f>
        <v/>
      </c>
      <c r="N351" t="str">
        <f>IF(OR(B351="Acquisto",B351="Vendita"),COUNTIFS($C$5:C351,C351,$B$5:B351,"Acquisto")+COUNTIFS($C$5:C351,C351,$B$5:B351,"Vendita"),"")</f>
        <v/>
      </c>
      <c r="O351" t="str">
        <f>IF(N351="","",C351&amp;"|"&amp;N351)</f>
        <v/>
      </c>
      <c r="P351" t="str">
        <f>IF(N351="","",IF(N351=1,0,MATCH(C351&amp;"|"&amp;(N351-1),$O$5:$O$1004,0)))</f>
        <v/>
      </c>
      <c r="Q351" t="str">
        <f>IF(N351="","",IF(P351=0,SUMIFS(Calcoli!$C$7:$C$21,Calcoli!$A$7:$A$21,C351),INDEX($S$5:$S$1004,P351)))</f>
        <v/>
      </c>
      <c r="R351" t="str">
        <f>IF(N351="","",IF(P351=0,SUMIFS(Calcoli!$D$7:$D$21,Calcoli!$A$7:$A$21,C351),INDEX($T$5:$T$1004,P351)))</f>
        <v/>
      </c>
      <c r="S351" t="str">
        <f>IF(N351="","",IF(B351="Acquisto",Q351+N(D351),MAX(0,Q351-N(D351))))</f>
        <v/>
      </c>
      <c r="T351" t="str">
        <f>IF(N351="","",IF(B351="Acquisto",R351+J351+N(G351),IF(Q351&lt;=0,0,R351*(1-MIN(1,N(D351)/Q351)))))</f>
        <v/>
      </c>
      <c r="U351" t="str">
        <f>IF(B351&lt;&gt;"Vendita","",J351-N(G351)-IF(Q351&lt;=0,0,R351*MIN(1,N(D351)/Q351)))</f>
        <v/>
      </c>
      <c r="V351" t="str">
        <f>IF(B351&lt;&gt;"Dividendo","",IF(Calcoli!$B$251=1,J351,L351))</f>
        <v/>
      </c>
      <c r="W351" t="str">
        <f>IF(AND(V351&lt;&gt;"",ISNUMBER(A351)),A351,"")</f>
        <v/>
      </c>
    </row>
    <row r="352">
      <c r="A352" s="134" t="n"/>
      <c r="B352" s="116" t="n"/>
      <c r="C352" s="116" t="n"/>
      <c r="D352" s="121" t="n"/>
      <c r="E352" s="120" t="n"/>
      <c r="F352" s="120" t="n"/>
      <c r="G352" s="120" t="n"/>
      <c r="H352" s="120" t="n"/>
      <c r="I352" s="117" t="n"/>
      <c r="J352" s="123" t="str">
        <f>IF(B352="","",IF(F352&lt;&gt;"",N(F352),ROUND(N(D352)*N(E352),2)))</f>
        <v/>
      </c>
      <c r="K352" s="123" t="str">
        <f>IF(B352="","",IF(H352&lt;&gt;"",N(H352),IF(B352="Dividendo",ROUND(J352*IFERROR(INDEX(Calcoli!$V$7:$V$21,MATCH(C352,Calcoli!$A$7:$A$21,0)),0.26),2),IF(B352="Vendita",ROUND(MAX(0,U352)*IFERROR(INDEX(Calcoli!$V$7:$V$21,MATCH(C352,Calcoli!$A$7:$A$21,0)),0.26),2),0))))</f>
        <v/>
      </c>
      <c r="L352" s="135" t="str">
        <f>IF(B352="","",IF(B352="Acquisto",-(J352+N(G352)),J352-N(G352)-K352))</f>
        <v/>
      </c>
      <c r="M352" s="127" t="str">
        <f>IF(B352="","",IF(ISNA(MATCH(C352,ETF!$A$7:$A$21,0)),"ETF?",IF(NOT(ISNUMBER(A352)),"Data?",IF(AND(B352&lt;&gt;"Dividendo",N(D352)&lt;=0),"Quote?",IF(AND(B352="Vendita",N(D352)&gt;N(Q352)+0.000001),"Quote?",IF(J352&lt;=0,"Importo?","✓"))))))</f>
        <v/>
      </c>
      <c r="N352" t="str">
        <f>IF(OR(B352="Acquisto",B352="Vendita"),COUNTIFS($C$5:C352,C352,$B$5:B352,"Acquisto")+COUNTIFS($C$5:C352,C352,$B$5:B352,"Vendita"),"")</f>
        <v/>
      </c>
      <c r="O352" t="str">
        <f>IF(N352="","",C352&amp;"|"&amp;N352)</f>
        <v/>
      </c>
      <c r="P352" t="str">
        <f>IF(N352="","",IF(N352=1,0,MATCH(C352&amp;"|"&amp;(N352-1),$O$5:$O$1004,0)))</f>
        <v/>
      </c>
      <c r="Q352" t="str">
        <f>IF(N352="","",IF(P352=0,SUMIFS(Calcoli!$C$7:$C$21,Calcoli!$A$7:$A$21,C352),INDEX($S$5:$S$1004,P352)))</f>
        <v/>
      </c>
      <c r="R352" t="str">
        <f>IF(N352="","",IF(P352=0,SUMIFS(Calcoli!$D$7:$D$21,Calcoli!$A$7:$A$21,C352),INDEX($T$5:$T$1004,P352)))</f>
        <v/>
      </c>
      <c r="S352" t="str">
        <f>IF(N352="","",IF(B352="Acquisto",Q352+N(D352),MAX(0,Q352-N(D352))))</f>
        <v/>
      </c>
      <c r="T352" t="str">
        <f>IF(N352="","",IF(B352="Acquisto",R352+J352+N(G352),IF(Q352&lt;=0,0,R352*(1-MIN(1,N(D352)/Q352)))))</f>
        <v/>
      </c>
      <c r="U352" t="str">
        <f>IF(B352&lt;&gt;"Vendita","",J352-N(G352)-IF(Q352&lt;=0,0,R352*MIN(1,N(D352)/Q352)))</f>
        <v/>
      </c>
      <c r="V352" t="str">
        <f>IF(B352&lt;&gt;"Dividendo","",IF(Calcoli!$B$251=1,J352,L352))</f>
        <v/>
      </c>
      <c r="W352" t="str">
        <f>IF(AND(V352&lt;&gt;"",ISNUMBER(A352)),A352,"")</f>
        <v/>
      </c>
    </row>
    <row r="353">
      <c r="A353" s="134" t="n"/>
      <c r="B353" s="116" t="n"/>
      <c r="C353" s="116" t="n"/>
      <c r="D353" s="121" t="n"/>
      <c r="E353" s="120" t="n"/>
      <c r="F353" s="120" t="n"/>
      <c r="G353" s="120" t="n"/>
      <c r="H353" s="120" t="n"/>
      <c r="I353" s="117" t="n"/>
      <c r="J353" s="123" t="str">
        <f>IF(B353="","",IF(F353&lt;&gt;"",N(F353),ROUND(N(D353)*N(E353),2)))</f>
        <v/>
      </c>
      <c r="K353" s="123" t="str">
        <f>IF(B353="","",IF(H353&lt;&gt;"",N(H353),IF(B353="Dividendo",ROUND(J353*IFERROR(INDEX(Calcoli!$V$7:$V$21,MATCH(C353,Calcoli!$A$7:$A$21,0)),0.26),2),IF(B353="Vendita",ROUND(MAX(0,U353)*IFERROR(INDEX(Calcoli!$V$7:$V$21,MATCH(C353,Calcoli!$A$7:$A$21,0)),0.26),2),0))))</f>
        <v/>
      </c>
      <c r="L353" s="135" t="str">
        <f>IF(B353="","",IF(B353="Acquisto",-(J353+N(G353)),J353-N(G353)-K353))</f>
        <v/>
      </c>
      <c r="M353" s="127" t="str">
        <f>IF(B353="","",IF(ISNA(MATCH(C353,ETF!$A$7:$A$21,0)),"ETF?",IF(NOT(ISNUMBER(A353)),"Data?",IF(AND(B353&lt;&gt;"Dividendo",N(D353)&lt;=0),"Quote?",IF(AND(B353="Vendita",N(D353)&gt;N(Q353)+0.000001),"Quote?",IF(J353&lt;=0,"Importo?","✓"))))))</f>
        <v/>
      </c>
      <c r="N353" t="str">
        <f>IF(OR(B353="Acquisto",B353="Vendita"),COUNTIFS($C$5:C353,C353,$B$5:B353,"Acquisto")+COUNTIFS($C$5:C353,C353,$B$5:B353,"Vendita"),"")</f>
        <v/>
      </c>
      <c r="O353" t="str">
        <f>IF(N353="","",C353&amp;"|"&amp;N353)</f>
        <v/>
      </c>
      <c r="P353" t="str">
        <f>IF(N353="","",IF(N353=1,0,MATCH(C353&amp;"|"&amp;(N353-1),$O$5:$O$1004,0)))</f>
        <v/>
      </c>
      <c r="Q353" t="str">
        <f>IF(N353="","",IF(P353=0,SUMIFS(Calcoli!$C$7:$C$21,Calcoli!$A$7:$A$21,C353),INDEX($S$5:$S$1004,P353)))</f>
        <v/>
      </c>
      <c r="R353" t="str">
        <f>IF(N353="","",IF(P353=0,SUMIFS(Calcoli!$D$7:$D$21,Calcoli!$A$7:$A$21,C353),INDEX($T$5:$T$1004,P353)))</f>
        <v/>
      </c>
      <c r="S353" t="str">
        <f>IF(N353="","",IF(B353="Acquisto",Q353+N(D353),MAX(0,Q353-N(D353))))</f>
        <v/>
      </c>
      <c r="T353" t="str">
        <f>IF(N353="","",IF(B353="Acquisto",R353+J353+N(G353),IF(Q353&lt;=0,0,R353*(1-MIN(1,N(D353)/Q353)))))</f>
        <v/>
      </c>
      <c r="U353" t="str">
        <f>IF(B353&lt;&gt;"Vendita","",J353-N(G353)-IF(Q353&lt;=0,0,R353*MIN(1,N(D353)/Q353)))</f>
        <v/>
      </c>
      <c r="V353" t="str">
        <f>IF(B353&lt;&gt;"Dividendo","",IF(Calcoli!$B$251=1,J353,L353))</f>
        <v/>
      </c>
      <c r="W353" t="str">
        <f>IF(AND(V353&lt;&gt;"",ISNUMBER(A353)),A353,"")</f>
        <v/>
      </c>
    </row>
    <row r="354">
      <c r="A354" s="134" t="n"/>
      <c r="B354" s="116" t="n"/>
      <c r="C354" s="116" t="n"/>
      <c r="D354" s="121" t="n"/>
      <c r="E354" s="120" t="n"/>
      <c r="F354" s="120" t="n"/>
      <c r="G354" s="120" t="n"/>
      <c r="H354" s="120" t="n"/>
      <c r="I354" s="117" t="n"/>
      <c r="J354" s="123" t="str">
        <f>IF(B354="","",IF(F354&lt;&gt;"",N(F354),ROUND(N(D354)*N(E354),2)))</f>
        <v/>
      </c>
      <c r="K354" s="123" t="str">
        <f>IF(B354="","",IF(H354&lt;&gt;"",N(H354),IF(B354="Dividendo",ROUND(J354*IFERROR(INDEX(Calcoli!$V$7:$V$21,MATCH(C354,Calcoli!$A$7:$A$21,0)),0.26),2),IF(B354="Vendita",ROUND(MAX(0,U354)*IFERROR(INDEX(Calcoli!$V$7:$V$21,MATCH(C354,Calcoli!$A$7:$A$21,0)),0.26),2),0))))</f>
        <v/>
      </c>
      <c r="L354" s="135" t="str">
        <f>IF(B354="","",IF(B354="Acquisto",-(J354+N(G354)),J354-N(G354)-K354))</f>
        <v/>
      </c>
      <c r="M354" s="127" t="str">
        <f>IF(B354="","",IF(ISNA(MATCH(C354,ETF!$A$7:$A$21,0)),"ETF?",IF(NOT(ISNUMBER(A354)),"Data?",IF(AND(B354&lt;&gt;"Dividendo",N(D354)&lt;=0),"Quote?",IF(AND(B354="Vendita",N(D354)&gt;N(Q354)+0.000001),"Quote?",IF(J354&lt;=0,"Importo?","✓"))))))</f>
        <v/>
      </c>
      <c r="N354" t="str">
        <f>IF(OR(B354="Acquisto",B354="Vendita"),COUNTIFS($C$5:C354,C354,$B$5:B354,"Acquisto")+COUNTIFS($C$5:C354,C354,$B$5:B354,"Vendita"),"")</f>
        <v/>
      </c>
      <c r="O354" t="str">
        <f>IF(N354="","",C354&amp;"|"&amp;N354)</f>
        <v/>
      </c>
      <c r="P354" t="str">
        <f>IF(N354="","",IF(N354=1,0,MATCH(C354&amp;"|"&amp;(N354-1),$O$5:$O$1004,0)))</f>
        <v/>
      </c>
      <c r="Q354" t="str">
        <f>IF(N354="","",IF(P354=0,SUMIFS(Calcoli!$C$7:$C$21,Calcoli!$A$7:$A$21,C354),INDEX($S$5:$S$1004,P354)))</f>
        <v/>
      </c>
      <c r="R354" t="str">
        <f>IF(N354="","",IF(P354=0,SUMIFS(Calcoli!$D$7:$D$21,Calcoli!$A$7:$A$21,C354),INDEX($T$5:$T$1004,P354)))</f>
        <v/>
      </c>
      <c r="S354" t="str">
        <f>IF(N354="","",IF(B354="Acquisto",Q354+N(D354),MAX(0,Q354-N(D354))))</f>
        <v/>
      </c>
      <c r="T354" t="str">
        <f>IF(N354="","",IF(B354="Acquisto",R354+J354+N(G354),IF(Q354&lt;=0,0,R354*(1-MIN(1,N(D354)/Q354)))))</f>
        <v/>
      </c>
      <c r="U354" t="str">
        <f>IF(B354&lt;&gt;"Vendita","",J354-N(G354)-IF(Q354&lt;=0,0,R354*MIN(1,N(D354)/Q354)))</f>
        <v/>
      </c>
      <c r="V354" t="str">
        <f>IF(B354&lt;&gt;"Dividendo","",IF(Calcoli!$B$251=1,J354,L354))</f>
        <v/>
      </c>
      <c r="W354" t="str">
        <f>IF(AND(V354&lt;&gt;"",ISNUMBER(A354)),A354,"")</f>
        <v/>
      </c>
    </row>
    <row r="355">
      <c r="A355" s="134" t="n"/>
      <c r="B355" s="116" t="n"/>
      <c r="C355" s="116" t="n"/>
      <c r="D355" s="121" t="n"/>
      <c r="E355" s="120" t="n"/>
      <c r="F355" s="120" t="n"/>
      <c r="G355" s="120" t="n"/>
      <c r="H355" s="120" t="n"/>
      <c r="I355" s="117" t="n"/>
      <c r="J355" s="123" t="str">
        <f>IF(B355="","",IF(F355&lt;&gt;"",N(F355),ROUND(N(D355)*N(E355),2)))</f>
        <v/>
      </c>
      <c r="K355" s="123" t="str">
        <f>IF(B355="","",IF(H355&lt;&gt;"",N(H355),IF(B355="Dividendo",ROUND(J355*IFERROR(INDEX(Calcoli!$V$7:$V$21,MATCH(C355,Calcoli!$A$7:$A$21,0)),0.26),2),IF(B355="Vendita",ROUND(MAX(0,U355)*IFERROR(INDEX(Calcoli!$V$7:$V$21,MATCH(C355,Calcoli!$A$7:$A$21,0)),0.26),2),0))))</f>
        <v/>
      </c>
      <c r="L355" s="135" t="str">
        <f>IF(B355="","",IF(B355="Acquisto",-(J355+N(G355)),J355-N(G355)-K355))</f>
        <v/>
      </c>
      <c r="M355" s="127" t="str">
        <f>IF(B355="","",IF(ISNA(MATCH(C355,ETF!$A$7:$A$21,0)),"ETF?",IF(NOT(ISNUMBER(A355)),"Data?",IF(AND(B355&lt;&gt;"Dividendo",N(D355)&lt;=0),"Quote?",IF(AND(B355="Vendita",N(D355)&gt;N(Q355)+0.000001),"Quote?",IF(J355&lt;=0,"Importo?","✓"))))))</f>
        <v/>
      </c>
      <c r="N355" t="str">
        <f>IF(OR(B355="Acquisto",B355="Vendita"),COUNTIFS($C$5:C355,C355,$B$5:B355,"Acquisto")+COUNTIFS($C$5:C355,C355,$B$5:B355,"Vendita"),"")</f>
        <v/>
      </c>
      <c r="O355" t="str">
        <f>IF(N355="","",C355&amp;"|"&amp;N355)</f>
        <v/>
      </c>
      <c r="P355" t="str">
        <f>IF(N355="","",IF(N355=1,0,MATCH(C355&amp;"|"&amp;(N355-1),$O$5:$O$1004,0)))</f>
        <v/>
      </c>
      <c r="Q355" t="str">
        <f>IF(N355="","",IF(P355=0,SUMIFS(Calcoli!$C$7:$C$21,Calcoli!$A$7:$A$21,C355),INDEX($S$5:$S$1004,P355)))</f>
        <v/>
      </c>
      <c r="R355" t="str">
        <f>IF(N355="","",IF(P355=0,SUMIFS(Calcoli!$D$7:$D$21,Calcoli!$A$7:$A$21,C355),INDEX($T$5:$T$1004,P355)))</f>
        <v/>
      </c>
      <c r="S355" t="str">
        <f>IF(N355="","",IF(B355="Acquisto",Q355+N(D355),MAX(0,Q355-N(D355))))</f>
        <v/>
      </c>
      <c r="T355" t="str">
        <f>IF(N355="","",IF(B355="Acquisto",R355+J355+N(G355),IF(Q355&lt;=0,0,R355*(1-MIN(1,N(D355)/Q355)))))</f>
        <v/>
      </c>
      <c r="U355" t="str">
        <f>IF(B355&lt;&gt;"Vendita","",J355-N(G355)-IF(Q355&lt;=0,0,R355*MIN(1,N(D355)/Q355)))</f>
        <v/>
      </c>
      <c r="V355" t="str">
        <f>IF(B355&lt;&gt;"Dividendo","",IF(Calcoli!$B$251=1,J355,L355))</f>
        <v/>
      </c>
      <c r="W355" t="str">
        <f>IF(AND(V355&lt;&gt;"",ISNUMBER(A355)),A355,"")</f>
        <v/>
      </c>
    </row>
    <row r="356">
      <c r="A356" s="134" t="n"/>
      <c r="B356" s="116" t="n"/>
      <c r="C356" s="116" t="n"/>
      <c r="D356" s="121" t="n"/>
      <c r="E356" s="120" t="n"/>
      <c r="F356" s="120" t="n"/>
      <c r="G356" s="120" t="n"/>
      <c r="H356" s="120" t="n"/>
      <c r="I356" s="117" t="n"/>
      <c r="J356" s="123" t="str">
        <f>IF(B356="","",IF(F356&lt;&gt;"",N(F356),ROUND(N(D356)*N(E356),2)))</f>
        <v/>
      </c>
      <c r="K356" s="123" t="str">
        <f>IF(B356="","",IF(H356&lt;&gt;"",N(H356),IF(B356="Dividendo",ROUND(J356*IFERROR(INDEX(Calcoli!$V$7:$V$21,MATCH(C356,Calcoli!$A$7:$A$21,0)),0.26),2),IF(B356="Vendita",ROUND(MAX(0,U356)*IFERROR(INDEX(Calcoli!$V$7:$V$21,MATCH(C356,Calcoli!$A$7:$A$21,0)),0.26),2),0))))</f>
        <v/>
      </c>
      <c r="L356" s="135" t="str">
        <f>IF(B356="","",IF(B356="Acquisto",-(J356+N(G356)),J356-N(G356)-K356))</f>
        <v/>
      </c>
      <c r="M356" s="127" t="str">
        <f>IF(B356="","",IF(ISNA(MATCH(C356,ETF!$A$7:$A$21,0)),"ETF?",IF(NOT(ISNUMBER(A356)),"Data?",IF(AND(B356&lt;&gt;"Dividendo",N(D356)&lt;=0),"Quote?",IF(AND(B356="Vendita",N(D356)&gt;N(Q356)+0.000001),"Quote?",IF(J356&lt;=0,"Importo?","✓"))))))</f>
        <v/>
      </c>
      <c r="N356" t="str">
        <f>IF(OR(B356="Acquisto",B356="Vendita"),COUNTIFS($C$5:C356,C356,$B$5:B356,"Acquisto")+COUNTIFS($C$5:C356,C356,$B$5:B356,"Vendita"),"")</f>
        <v/>
      </c>
      <c r="O356" t="str">
        <f>IF(N356="","",C356&amp;"|"&amp;N356)</f>
        <v/>
      </c>
      <c r="P356" t="str">
        <f>IF(N356="","",IF(N356=1,0,MATCH(C356&amp;"|"&amp;(N356-1),$O$5:$O$1004,0)))</f>
        <v/>
      </c>
      <c r="Q356" t="str">
        <f>IF(N356="","",IF(P356=0,SUMIFS(Calcoli!$C$7:$C$21,Calcoli!$A$7:$A$21,C356),INDEX($S$5:$S$1004,P356)))</f>
        <v/>
      </c>
      <c r="R356" t="str">
        <f>IF(N356="","",IF(P356=0,SUMIFS(Calcoli!$D$7:$D$21,Calcoli!$A$7:$A$21,C356),INDEX($T$5:$T$1004,P356)))</f>
        <v/>
      </c>
      <c r="S356" t="str">
        <f>IF(N356="","",IF(B356="Acquisto",Q356+N(D356),MAX(0,Q356-N(D356))))</f>
        <v/>
      </c>
      <c r="T356" t="str">
        <f>IF(N356="","",IF(B356="Acquisto",R356+J356+N(G356),IF(Q356&lt;=0,0,R356*(1-MIN(1,N(D356)/Q356)))))</f>
        <v/>
      </c>
      <c r="U356" t="str">
        <f>IF(B356&lt;&gt;"Vendita","",J356-N(G356)-IF(Q356&lt;=0,0,R356*MIN(1,N(D356)/Q356)))</f>
        <v/>
      </c>
      <c r="V356" t="str">
        <f>IF(B356&lt;&gt;"Dividendo","",IF(Calcoli!$B$251=1,J356,L356))</f>
        <v/>
      </c>
      <c r="W356" t="str">
        <f>IF(AND(V356&lt;&gt;"",ISNUMBER(A356)),A356,"")</f>
        <v/>
      </c>
    </row>
    <row r="357">
      <c r="A357" s="134" t="n"/>
      <c r="B357" s="116" t="n"/>
      <c r="C357" s="116" t="n"/>
      <c r="D357" s="121" t="n"/>
      <c r="E357" s="120" t="n"/>
      <c r="F357" s="120" t="n"/>
      <c r="G357" s="120" t="n"/>
      <c r="H357" s="120" t="n"/>
      <c r="I357" s="117" t="n"/>
      <c r="J357" s="123" t="str">
        <f>IF(B357="","",IF(F357&lt;&gt;"",N(F357),ROUND(N(D357)*N(E357),2)))</f>
        <v/>
      </c>
      <c r="K357" s="123" t="str">
        <f>IF(B357="","",IF(H357&lt;&gt;"",N(H357),IF(B357="Dividendo",ROUND(J357*IFERROR(INDEX(Calcoli!$V$7:$V$21,MATCH(C357,Calcoli!$A$7:$A$21,0)),0.26),2),IF(B357="Vendita",ROUND(MAX(0,U357)*IFERROR(INDEX(Calcoli!$V$7:$V$21,MATCH(C357,Calcoli!$A$7:$A$21,0)),0.26),2),0))))</f>
        <v/>
      </c>
      <c r="L357" s="135" t="str">
        <f>IF(B357="","",IF(B357="Acquisto",-(J357+N(G357)),J357-N(G357)-K357))</f>
        <v/>
      </c>
      <c r="M357" s="127" t="str">
        <f>IF(B357="","",IF(ISNA(MATCH(C357,ETF!$A$7:$A$21,0)),"ETF?",IF(NOT(ISNUMBER(A357)),"Data?",IF(AND(B357&lt;&gt;"Dividendo",N(D357)&lt;=0),"Quote?",IF(AND(B357="Vendita",N(D357)&gt;N(Q357)+0.000001),"Quote?",IF(J357&lt;=0,"Importo?","✓"))))))</f>
        <v/>
      </c>
      <c r="N357" t="str">
        <f>IF(OR(B357="Acquisto",B357="Vendita"),COUNTIFS($C$5:C357,C357,$B$5:B357,"Acquisto")+COUNTIFS($C$5:C357,C357,$B$5:B357,"Vendita"),"")</f>
        <v/>
      </c>
      <c r="O357" t="str">
        <f>IF(N357="","",C357&amp;"|"&amp;N357)</f>
        <v/>
      </c>
      <c r="P357" t="str">
        <f>IF(N357="","",IF(N357=1,0,MATCH(C357&amp;"|"&amp;(N357-1),$O$5:$O$1004,0)))</f>
        <v/>
      </c>
      <c r="Q357" t="str">
        <f>IF(N357="","",IF(P357=0,SUMIFS(Calcoli!$C$7:$C$21,Calcoli!$A$7:$A$21,C357),INDEX($S$5:$S$1004,P357)))</f>
        <v/>
      </c>
      <c r="R357" t="str">
        <f>IF(N357="","",IF(P357=0,SUMIFS(Calcoli!$D$7:$D$21,Calcoli!$A$7:$A$21,C357),INDEX($T$5:$T$1004,P357)))</f>
        <v/>
      </c>
      <c r="S357" t="str">
        <f>IF(N357="","",IF(B357="Acquisto",Q357+N(D357),MAX(0,Q357-N(D357))))</f>
        <v/>
      </c>
      <c r="T357" t="str">
        <f>IF(N357="","",IF(B357="Acquisto",R357+J357+N(G357),IF(Q357&lt;=0,0,R357*(1-MIN(1,N(D357)/Q357)))))</f>
        <v/>
      </c>
      <c r="U357" t="str">
        <f>IF(B357&lt;&gt;"Vendita","",J357-N(G357)-IF(Q357&lt;=0,0,R357*MIN(1,N(D357)/Q357)))</f>
        <v/>
      </c>
      <c r="V357" t="str">
        <f>IF(B357&lt;&gt;"Dividendo","",IF(Calcoli!$B$251=1,J357,L357))</f>
        <v/>
      </c>
      <c r="W357" t="str">
        <f>IF(AND(V357&lt;&gt;"",ISNUMBER(A357)),A357,"")</f>
        <v/>
      </c>
    </row>
    <row r="358">
      <c r="A358" s="134" t="n"/>
      <c r="B358" s="116" t="n"/>
      <c r="C358" s="116" t="n"/>
      <c r="D358" s="121" t="n"/>
      <c r="E358" s="120" t="n"/>
      <c r="F358" s="120" t="n"/>
      <c r="G358" s="120" t="n"/>
      <c r="H358" s="120" t="n"/>
      <c r="I358" s="117" t="n"/>
      <c r="J358" s="123" t="str">
        <f>IF(B358="","",IF(F358&lt;&gt;"",N(F358),ROUND(N(D358)*N(E358),2)))</f>
        <v/>
      </c>
      <c r="K358" s="123" t="str">
        <f>IF(B358="","",IF(H358&lt;&gt;"",N(H358),IF(B358="Dividendo",ROUND(J358*IFERROR(INDEX(Calcoli!$V$7:$V$21,MATCH(C358,Calcoli!$A$7:$A$21,0)),0.26),2),IF(B358="Vendita",ROUND(MAX(0,U358)*IFERROR(INDEX(Calcoli!$V$7:$V$21,MATCH(C358,Calcoli!$A$7:$A$21,0)),0.26),2),0))))</f>
        <v/>
      </c>
      <c r="L358" s="135" t="str">
        <f>IF(B358="","",IF(B358="Acquisto",-(J358+N(G358)),J358-N(G358)-K358))</f>
        <v/>
      </c>
      <c r="M358" s="127" t="str">
        <f>IF(B358="","",IF(ISNA(MATCH(C358,ETF!$A$7:$A$21,0)),"ETF?",IF(NOT(ISNUMBER(A358)),"Data?",IF(AND(B358&lt;&gt;"Dividendo",N(D358)&lt;=0),"Quote?",IF(AND(B358="Vendita",N(D358)&gt;N(Q358)+0.000001),"Quote?",IF(J358&lt;=0,"Importo?","✓"))))))</f>
        <v/>
      </c>
      <c r="N358" t="str">
        <f>IF(OR(B358="Acquisto",B358="Vendita"),COUNTIFS($C$5:C358,C358,$B$5:B358,"Acquisto")+COUNTIFS($C$5:C358,C358,$B$5:B358,"Vendita"),"")</f>
        <v/>
      </c>
      <c r="O358" t="str">
        <f>IF(N358="","",C358&amp;"|"&amp;N358)</f>
        <v/>
      </c>
      <c r="P358" t="str">
        <f>IF(N358="","",IF(N358=1,0,MATCH(C358&amp;"|"&amp;(N358-1),$O$5:$O$1004,0)))</f>
        <v/>
      </c>
      <c r="Q358" t="str">
        <f>IF(N358="","",IF(P358=0,SUMIFS(Calcoli!$C$7:$C$21,Calcoli!$A$7:$A$21,C358),INDEX($S$5:$S$1004,P358)))</f>
        <v/>
      </c>
      <c r="R358" t="str">
        <f>IF(N358="","",IF(P358=0,SUMIFS(Calcoli!$D$7:$D$21,Calcoli!$A$7:$A$21,C358),INDEX($T$5:$T$1004,P358)))</f>
        <v/>
      </c>
      <c r="S358" t="str">
        <f>IF(N358="","",IF(B358="Acquisto",Q358+N(D358),MAX(0,Q358-N(D358))))</f>
        <v/>
      </c>
      <c r="T358" t="str">
        <f>IF(N358="","",IF(B358="Acquisto",R358+J358+N(G358),IF(Q358&lt;=0,0,R358*(1-MIN(1,N(D358)/Q358)))))</f>
        <v/>
      </c>
      <c r="U358" t="str">
        <f>IF(B358&lt;&gt;"Vendita","",J358-N(G358)-IF(Q358&lt;=0,0,R358*MIN(1,N(D358)/Q358)))</f>
        <v/>
      </c>
      <c r="V358" t="str">
        <f>IF(B358&lt;&gt;"Dividendo","",IF(Calcoli!$B$251=1,J358,L358))</f>
        <v/>
      </c>
      <c r="W358" t="str">
        <f>IF(AND(V358&lt;&gt;"",ISNUMBER(A358)),A358,"")</f>
        <v/>
      </c>
    </row>
    <row r="359">
      <c r="A359" s="134" t="n"/>
      <c r="B359" s="116" t="n"/>
      <c r="C359" s="116" t="n"/>
      <c r="D359" s="121" t="n"/>
      <c r="E359" s="120" t="n"/>
      <c r="F359" s="120" t="n"/>
      <c r="G359" s="120" t="n"/>
      <c r="H359" s="120" t="n"/>
      <c r="I359" s="117" t="n"/>
      <c r="J359" s="123" t="str">
        <f>IF(B359="","",IF(F359&lt;&gt;"",N(F359),ROUND(N(D359)*N(E359),2)))</f>
        <v/>
      </c>
      <c r="K359" s="123" t="str">
        <f>IF(B359="","",IF(H359&lt;&gt;"",N(H359),IF(B359="Dividendo",ROUND(J359*IFERROR(INDEX(Calcoli!$V$7:$V$21,MATCH(C359,Calcoli!$A$7:$A$21,0)),0.26),2),IF(B359="Vendita",ROUND(MAX(0,U359)*IFERROR(INDEX(Calcoli!$V$7:$V$21,MATCH(C359,Calcoli!$A$7:$A$21,0)),0.26),2),0))))</f>
        <v/>
      </c>
      <c r="L359" s="135" t="str">
        <f>IF(B359="","",IF(B359="Acquisto",-(J359+N(G359)),J359-N(G359)-K359))</f>
        <v/>
      </c>
      <c r="M359" s="127" t="str">
        <f>IF(B359="","",IF(ISNA(MATCH(C359,ETF!$A$7:$A$21,0)),"ETF?",IF(NOT(ISNUMBER(A359)),"Data?",IF(AND(B359&lt;&gt;"Dividendo",N(D359)&lt;=0),"Quote?",IF(AND(B359="Vendita",N(D359)&gt;N(Q359)+0.000001),"Quote?",IF(J359&lt;=0,"Importo?","✓"))))))</f>
        <v/>
      </c>
      <c r="N359" t="str">
        <f>IF(OR(B359="Acquisto",B359="Vendita"),COUNTIFS($C$5:C359,C359,$B$5:B359,"Acquisto")+COUNTIFS($C$5:C359,C359,$B$5:B359,"Vendita"),"")</f>
        <v/>
      </c>
      <c r="O359" t="str">
        <f>IF(N359="","",C359&amp;"|"&amp;N359)</f>
        <v/>
      </c>
      <c r="P359" t="str">
        <f>IF(N359="","",IF(N359=1,0,MATCH(C359&amp;"|"&amp;(N359-1),$O$5:$O$1004,0)))</f>
        <v/>
      </c>
      <c r="Q359" t="str">
        <f>IF(N359="","",IF(P359=0,SUMIFS(Calcoli!$C$7:$C$21,Calcoli!$A$7:$A$21,C359),INDEX($S$5:$S$1004,P359)))</f>
        <v/>
      </c>
      <c r="R359" t="str">
        <f>IF(N359="","",IF(P359=0,SUMIFS(Calcoli!$D$7:$D$21,Calcoli!$A$7:$A$21,C359),INDEX($T$5:$T$1004,P359)))</f>
        <v/>
      </c>
      <c r="S359" t="str">
        <f>IF(N359="","",IF(B359="Acquisto",Q359+N(D359),MAX(0,Q359-N(D359))))</f>
        <v/>
      </c>
      <c r="T359" t="str">
        <f>IF(N359="","",IF(B359="Acquisto",R359+J359+N(G359),IF(Q359&lt;=0,0,R359*(1-MIN(1,N(D359)/Q359)))))</f>
        <v/>
      </c>
      <c r="U359" t="str">
        <f>IF(B359&lt;&gt;"Vendita","",J359-N(G359)-IF(Q359&lt;=0,0,R359*MIN(1,N(D359)/Q359)))</f>
        <v/>
      </c>
      <c r="V359" t="str">
        <f>IF(B359&lt;&gt;"Dividendo","",IF(Calcoli!$B$251=1,J359,L359))</f>
        <v/>
      </c>
      <c r="W359" t="str">
        <f>IF(AND(V359&lt;&gt;"",ISNUMBER(A359)),A359,"")</f>
        <v/>
      </c>
    </row>
    <row r="360">
      <c r="A360" s="134" t="n"/>
      <c r="B360" s="116" t="n"/>
      <c r="C360" s="116" t="n"/>
      <c r="D360" s="121" t="n"/>
      <c r="E360" s="120" t="n"/>
      <c r="F360" s="120" t="n"/>
      <c r="G360" s="120" t="n"/>
      <c r="H360" s="120" t="n"/>
      <c r="I360" s="117" t="n"/>
      <c r="J360" s="123" t="str">
        <f>IF(B360="","",IF(F360&lt;&gt;"",N(F360),ROUND(N(D360)*N(E360),2)))</f>
        <v/>
      </c>
      <c r="K360" s="123" t="str">
        <f>IF(B360="","",IF(H360&lt;&gt;"",N(H360),IF(B360="Dividendo",ROUND(J360*IFERROR(INDEX(Calcoli!$V$7:$V$21,MATCH(C360,Calcoli!$A$7:$A$21,0)),0.26),2),IF(B360="Vendita",ROUND(MAX(0,U360)*IFERROR(INDEX(Calcoli!$V$7:$V$21,MATCH(C360,Calcoli!$A$7:$A$21,0)),0.26),2),0))))</f>
        <v/>
      </c>
      <c r="L360" s="135" t="str">
        <f>IF(B360="","",IF(B360="Acquisto",-(J360+N(G360)),J360-N(G360)-K360))</f>
        <v/>
      </c>
      <c r="M360" s="127" t="str">
        <f>IF(B360="","",IF(ISNA(MATCH(C360,ETF!$A$7:$A$21,0)),"ETF?",IF(NOT(ISNUMBER(A360)),"Data?",IF(AND(B360&lt;&gt;"Dividendo",N(D360)&lt;=0),"Quote?",IF(AND(B360="Vendita",N(D360)&gt;N(Q360)+0.000001),"Quote?",IF(J360&lt;=0,"Importo?","✓"))))))</f>
        <v/>
      </c>
      <c r="N360" t="str">
        <f>IF(OR(B360="Acquisto",B360="Vendita"),COUNTIFS($C$5:C360,C360,$B$5:B360,"Acquisto")+COUNTIFS($C$5:C360,C360,$B$5:B360,"Vendita"),"")</f>
        <v/>
      </c>
      <c r="O360" t="str">
        <f>IF(N360="","",C360&amp;"|"&amp;N360)</f>
        <v/>
      </c>
      <c r="P360" t="str">
        <f>IF(N360="","",IF(N360=1,0,MATCH(C360&amp;"|"&amp;(N360-1),$O$5:$O$1004,0)))</f>
        <v/>
      </c>
      <c r="Q360" t="str">
        <f>IF(N360="","",IF(P360=0,SUMIFS(Calcoli!$C$7:$C$21,Calcoli!$A$7:$A$21,C360),INDEX($S$5:$S$1004,P360)))</f>
        <v/>
      </c>
      <c r="R360" t="str">
        <f>IF(N360="","",IF(P360=0,SUMIFS(Calcoli!$D$7:$D$21,Calcoli!$A$7:$A$21,C360),INDEX($T$5:$T$1004,P360)))</f>
        <v/>
      </c>
      <c r="S360" t="str">
        <f>IF(N360="","",IF(B360="Acquisto",Q360+N(D360),MAX(0,Q360-N(D360))))</f>
        <v/>
      </c>
      <c r="T360" t="str">
        <f>IF(N360="","",IF(B360="Acquisto",R360+J360+N(G360),IF(Q360&lt;=0,0,R360*(1-MIN(1,N(D360)/Q360)))))</f>
        <v/>
      </c>
      <c r="U360" t="str">
        <f>IF(B360&lt;&gt;"Vendita","",J360-N(G360)-IF(Q360&lt;=0,0,R360*MIN(1,N(D360)/Q360)))</f>
        <v/>
      </c>
      <c r="V360" t="str">
        <f>IF(B360&lt;&gt;"Dividendo","",IF(Calcoli!$B$251=1,J360,L360))</f>
        <v/>
      </c>
      <c r="W360" t="str">
        <f>IF(AND(V360&lt;&gt;"",ISNUMBER(A360)),A360,"")</f>
        <v/>
      </c>
    </row>
    <row r="361">
      <c r="A361" s="134" t="n"/>
      <c r="B361" s="116" t="n"/>
      <c r="C361" s="116" t="n"/>
      <c r="D361" s="121" t="n"/>
      <c r="E361" s="120" t="n"/>
      <c r="F361" s="120" t="n"/>
      <c r="G361" s="120" t="n"/>
      <c r="H361" s="120" t="n"/>
      <c r="I361" s="117" t="n"/>
      <c r="J361" s="123" t="str">
        <f>IF(B361="","",IF(F361&lt;&gt;"",N(F361),ROUND(N(D361)*N(E361),2)))</f>
        <v/>
      </c>
      <c r="K361" s="123" t="str">
        <f>IF(B361="","",IF(H361&lt;&gt;"",N(H361),IF(B361="Dividendo",ROUND(J361*IFERROR(INDEX(Calcoli!$V$7:$V$21,MATCH(C361,Calcoli!$A$7:$A$21,0)),0.26),2),IF(B361="Vendita",ROUND(MAX(0,U361)*IFERROR(INDEX(Calcoli!$V$7:$V$21,MATCH(C361,Calcoli!$A$7:$A$21,0)),0.26),2),0))))</f>
        <v/>
      </c>
      <c r="L361" s="135" t="str">
        <f>IF(B361="","",IF(B361="Acquisto",-(J361+N(G361)),J361-N(G361)-K361))</f>
        <v/>
      </c>
      <c r="M361" s="127" t="str">
        <f>IF(B361="","",IF(ISNA(MATCH(C361,ETF!$A$7:$A$21,0)),"ETF?",IF(NOT(ISNUMBER(A361)),"Data?",IF(AND(B361&lt;&gt;"Dividendo",N(D361)&lt;=0),"Quote?",IF(AND(B361="Vendita",N(D361)&gt;N(Q361)+0.000001),"Quote?",IF(J361&lt;=0,"Importo?","✓"))))))</f>
        <v/>
      </c>
      <c r="N361" t="str">
        <f>IF(OR(B361="Acquisto",B361="Vendita"),COUNTIFS($C$5:C361,C361,$B$5:B361,"Acquisto")+COUNTIFS($C$5:C361,C361,$B$5:B361,"Vendita"),"")</f>
        <v/>
      </c>
      <c r="O361" t="str">
        <f>IF(N361="","",C361&amp;"|"&amp;N361)</f>
        <v/>
      </c>
      <c r="P361" t="str">
        <f>IF(N361="","",IF(N361=1,0,MATCH(C361&amp;"|"&amp;(N361-1),$O$5:$O$1004,0)))</f>
        <v/>
      </c>
      <c r="Q361" t="str">
        <f>IF(N361="","",IF(P361=0,SUMIFS(Calcoli!$C$7:$C$21,Calcoli!$A$7:$A$21,C361),INDEX($S$5:$S$1004,P361)))</f>
        <v/>
      </c>
      <c r="R361" t="str">
        <f>IF(N361="","",IF(P361=0,SUMIFS(Calcoli!$D$7:$D$21,Calcoli!$A$7:$A$21,C361),INDEX($T$5:$T$1004,P361)))</f>
        <v/>
      </c>
      <c r="S361" t="str">
        <f>IF(N361="","",IF(B361="Acquisto",Q361+N(D361),MAX(0,Q361-N(D361))))</f>
        <v/>
      </c>
      <c r="T361" t="str">
        <f>IF(N361="","",IF(B361="Acquisto",R361+J361+N(G361),IF(Q361&lt;=0,0,R361*(1-MIN(1,N(D361)/Q361)))))</f>
        <v/>
      </c>
      <c r="U361" t="str">
        <f>IF(B361&lt;&gt;"Vendita","",J361-N(G361)-IF(Q361&lt;=0,0,R361*MIN(1,N(D361)/Q361)))</f>
        <v/>
      </c>
      <c r="V361" t="str">
        <f>IF(B361&lt;&gt;"Dividendo","",IF(Calcoli!$B$251=1,J361,L361))</f>
        <v/>
      </c>
      <c r="W361" t="str">
        <f>IF(AND(V361&lt;&gt;"",ISNUMBER(A361)),A361,"")</f>
        <v/>
      </c>
    </row>
    <row r="362">
      <c r="A362" s="134" t="n"/>
      <c r="B362" s="116" t="n"/>
      <c r="C362" s="116" t="n"/>
      <c r="D362" s="121" t="n"/>
      <c r="E362" s="120" t="n"/>
      <c r="F362" s="120" t="n"/>
      <c r="G362" s="120" t="n"/>
      <c r="H362" s="120" t="n"/>
      <c r="I362" s="117" t="n"/>
      <c r="J362" s="123" t="str">
        <f>IF(B362="","",IF(F362&lt;&gt;"",N(F362),ROUND(N(D362)*N(E362),2)))</f>
        <v/>
      </c>
      <c r="K362" s="123" t="str">
        <f>IF(B362="","",IF(H362&lt;&gt;"",N(H362),IF(B362="Dividendo",ROUND(J362*IFERROR(INDEX(Calcoli!$V$7:$V$21,MATCH(C362,Calcoli!$A$7:$A$21,0)),0.26),2),IF(B362="Vendita",ROUND(MAX(0,U362)*IFERROR(INDEX(Calcoli!$V$7:$V$21,MATCH(C362,Calcoli!$A$7:$A$21,0)),0.26),2),0))))</f>
        <v/>
      </c>
      <c r="L362" s="135" t="str">
        <f>IF(B362="","",IF(B362="Acquisto",-(J362+N(G362)),J362-N(G362)-K362))</f>
        <v/>
      </c>
      <c r="M362" s="127" t="str">
        <f>IF(B362="","",IF(ISNA(MATCH(C362,ETF!$A$7:$A$21,0)),"ETF?",IF(NOT(ISNUMBER(A362)),"Data?",IF(AND(B362&lt;&gt;"Dividendo",N(D362)&lt;=0),"Quote?",IF(AND(B362="Vendita",N(D362)&gt;N(Q362)+0.000001),"Quote?",IF(J362&lt;=0,"Importo?","✓"))))))</f>
        <v/>
      </c>
      <c r="N362" t="str">
        <f>IF(OR(B362="Acquisto",B362="Vendita"),COUNTIFS($C$5:C362,C362,$B$5:B362,"Acquisto")+COUNTIFS($C$5:C362,C362,$B$5:B362,"Vendita"),"")</f>
        <v/>
      </c>
      <c r="O362" t="str">
        <f>IF(N362="","",C362&amp;"|"&amp;N362)</f>
        <v/>
      </c>
      <c r="P362" t="str">
        <f>IF(N362="","",IF(N362=1,0,MATCH(C362&amp;"|"&amp;(N362-1),$O$5:$O$1004,0)))</f>
        <v/>
      </c>
      <c r="Q362" t="str">
        <f>IF(N362="","",IF(P362=0,SUMIFS(Calcoli!$C$7:$C$21,Calcoli!$A$7:$A$21,C362),INDEX($S$5:$S$1004,P362)))</f>
        <v/>
      </c>
      <c r="R362" t="str">
        <f>IF(N362="","",IF(P362=0,SUMIFS(Calcoli!$D$7:$D$21,Calcoli!$A$7:$A$21,C362),INDEX($T$5:$T$1004,P362)))</f>
        <v/>
      </c>
      <c r="S362" t="str">
        <f>IF(N362="","",IF(B362="Acquisto",Q362+N(D362),MAX(0,Q362-N(D362))))</f>
        <v/>
      </c>
      <c r="T362" t="str">
        <f>IF(N362="","",IF(B362="Acquisto",R362+J362+N(G362),IF(Q362&lt;=0,0,R362*(1-MIN(1,N(D362)/Q362)))))</f>
        <v/>
      </c>
      <c r="U362" t="str">
        <f>IF(B362&lt;&gt;"Vendita","",J362-N(G362)-IF(Q362&lt;=0,0,R362*MIN(1,N(D362)/Q362)))</f>
        <v/>
      </c>
      <c r="V362" t="str">
        <f>IF(B362&lt;&gt;"Dividendo","",IF(Calcoli!$B$251=1,J362,L362))</f>
        <v/>
      </c>
      <c r="W362" t="str">
        <f>IF(AND(V362&lt;&gt;"",ISNUMBER(A362)),A362,"")</f>
        <v/>
      </c>
    </row>
    <row r="363">
      <c r="A363" s="134" t="n"/>
      <c r="B363" s="116" t="n"/>
      <c r="C363" s="116" t="n"/>
      <c r="D363" s="121" t="n"/>
      <c r="E363" s="120" t="n"/>
      <c r="F363" s="120" t="n"/>
      <c r="G363" s="120" t="n"/>
      <c r="H363" s="120" t="n"/>
      <c r="I363" s="117" t="n"/>
      <c r="J363" s="123" t="str">
        <f>IF(B363="","",IF(F363&lt;&gt;"",N(F363),ROUND(N(D363)*N(E363),2)))</f>
        <v/>
      </c>
      <c r="K363" s="123" t="str">
        <f>IF(B363="","",IF(H363&lt;&gt;"",N(H363),IF(B363="Dividendo",ROUND(J363*IFERROR(INDEX(Calcoli!$V$7:$V$21,MATCH(C363,Calcoli!$A$7:$A$21,0)),0.26),2),IF(B363="Vendita",ROUND(MAX(0,U363)*IFERROR(INDEX(Calcoli!$V$7:$V$21,MATCH(C363,Calcoli!$A$7:$A$21,0)),0.26),2),0))))</f>
        <v/>
      </c>
      <c r="L363" s="135" t="str">
        <f>IF(B363="","",IF(B363="Acquisto",-(J363+N(G363)),J363-N(G363)-K363))</f>
        <v/>
      </c>
      <c r="M363" s="127" t="str">
        <f>IF(B363="","",IF(ISNA(MATCH(C363,ETF!$A$7:$A$21,0)),"ETF?",IF(NOT(ISNUMBER(A363)),"Data?",IF(AND(B363&lt;&gt;"Dividendo",N(D363)&lt;=0),"Quote?",IF(AND(B363="Vendita",N(D363)&gt;N(Q363)+0.000001),"Quote?",IF(J363&lt;=0,"Importo?","✓"))))))</f>
        <v/>
      </c>
      <c r="N363" t="str">
        <f>IF(OR(B363="Acquisto",B363="Vendita"),COUNTIFS($C$5:C363,C363,$B$5:B363,"Acquisto")+COUNTIFS($C$5:C363,C363,$B$5:B363,"Vendita"),"")</f>
        <v/>
      </c>
      <c r="O363" t="str">
        <f>IF(N363="","",C363&amp;"|"&amp;N363)</f>
        <v/>
      </c>
      <c r="P363" t="str">
        <f>IF(N363="","",IF(N363=1,0,MATCH(C363&amp;"|"&amp;(N363-1),$O$5:$O$1004,0)))</f>
        <v/>
      </c>
      <c r="Q363" t="str">
        <f>IF(N363="","",IF(P363=0,SUMIFS(Calcoli!$C$7:$C$21,Calcoli!$A$7:$A$21,C363),INDEX($S$5:$S$1004,P363)))</f>
        <v/>
      </c>
      <c r="R363" t="str">
        <f>IF(N363="","",IF(P363=0,SUMIFS(Calcoli!$D$7:$D$21,Calcoli!$A$7:$A$21,C363),INDEX($T$5:$T$1004,P363)))</f>
        <v/>
      </c>
      <c r="S363" t="str">
        <f>IF(N363="","",IF(B363="Acquisto",Q363+N(D363),MAX(0,Q363-N(D363))))</f>
        <v/>
      </c>
      <c r="T363" t="str">
        <f>IF(N363="","",IF(B363="Acquisto",R363+J363+N(G363),IF(Q363&lt;=0,0,R363*(1-MIN(1,N(D363)/Q363)))))</f>
        <v/>
      </c>
      <c r="U363" t="str">
        <f>IF(B363&lt;&gt;"Vendita","",J363-N(G363)-IF(Q363&lt;=0,0,R363*MIN(1,N(D363)/Q363)))</f>
        <v/>
      </c>
      <c r="V363" t="str">
        <f>IF(B363&lt;&gt;"Dividendo","",IF(Calcoli!$B$251=1,J363,L363))</f>
        <v/>
      </c>
      <c r="W363" t="str">
        <f>IF(AND(V363&lt;&gt;"",ISNUMBER(A363)),A363,"")</f>
        <v/>
      </c>
    </row>
    <row r="364">
      <c r="A364" s="134" t="n"/>
      <c r="B364" s="116" t="n"/>
      <c r="C364" s="116" t="n"/>
      <c r="D364" s="121" t="n"/>
      <c r="E364" s="120" t="n"/>
      <c r="F364" s="120" t="n"/>
      <c r="G364" s="120" t="n"/>
      <c r="H364" s="120" t="n"/>
      <c r="I364" s="117" t="n"/>
      <c r="J364" s="123" t="str">
        <f>IF(B364="","",IF(F364&lt;&gt;"",N(F364),ROUND(N(D364)*N(E364),2)))</f>
        <v/>
      </c>
      <c r="K364" s="123" t="str">
        <f>IF(B364="","",IF(H364&lt;&gt;"",N(H364),IF(B364="Dividendo",ROUND(J364*IFERROR(INDEX(Calcoli!$V$7:$V$21,MATCH(C364,Calcoli!$A$7:$A$21,0)),0.26),2),IF(B364="Vendita",ROUND(MAX(0,U364)*IFERROR(INDEX(Calcoli!$V$7:$V$21,MATCH(C364,Calcoli!$A$7:$A$21,0)),0.26),2),0))))</f>
        <v/>
      </c>
      <c r="L364" s="135" t="str">
        <f>IF(B364="","",IF(B364="Acquisto",-(J364+N(G364)),J364-N(G364)-K364))</f>
        <v/>
      </c>
      <c r="M364" s="127" t="str">
        <f>IF(B364="","",IF(ISNA(MATCH(C364,ETF!$A$7:$A$21,0)),"ETF?",IF(NOT(ISNUMBER(A364)),"Data?",IF(AND(B364&lt;&gt;"Dividendo",N(D364)&lt;=0),"Quote?",IF(AND(B364="Vendita",N(D364)&gt;N(Q364)+0.000001),"Quote?",IF(J364&lt;=0,"Importo?","✓"))))))</f>
        <v/>
      </c>
      <c r="N364" t="str">
        <f>IF(OR(B364="Acquisto",B364="Vendita"),COUNTIFS($C$5:C364,C364,$B$5:B364,"Acquisto")+COUNTIFS($C$5:C364,C364,$B$5:B364,"Vendita"),"")</f>
        <v/>
      </c>
      <c r="O364" t="str">
        <f>IF(N364="","",C364&amp;"|"&amp;N364)</f>
        <v/>
      </c>
      <c r="P364" t="str">
        <f>IF(N364="","",IF(N364=1,0,MATCH(C364&amp;"|"&amp;(N364-1),$O$5:$O$1004,0)))</f>
        <v/>
      </c>
      <c r="Q364" t="str">
        <f>IF(N364="","",IF(P364=0,SUMIFS(Calcoli!$C$7:$C$21,Calcoli!$A$7:$A$21,C364),INDEX($S$5:$S$1004,P364)))</f>
        <v/>
      </c>
      <c r="R364" t="str">
        <f>IF(N364="","",IF(P364=0,SUMIFS(Calcoli!$D$7:$D$21,Calcoli!$A$7:$A$21,C364),INDEX($T$5:$T$1004,P364)))</f>
        <v/>
      </c>
      <c r="S364" t="str">
        <f>IF(N364="","",IF(B364="Acquisto",Q364+N(D364),MAX(0,Q364-N(D364))))</f>
        <v/>
      </c>
      <c r="T364" t="str">
        <f>IF(N364="","",IF(B364="Acquisto",R364+J364+N(G364),IF(Q364&lt;=0,0,R364*(1-MIN(1,N(D364)/Q364)))))</f>
        <v/>
      </c>
      <c r="U364" t="str">
        <f>IF(B364&lt;&gt;"Vendita","",J364-N(G364)-IF(Q364&lt;=0,0,R364*MIN(1,N(D364)/Q364)))</f>
        <v/>
      </c>
      <c r="V364" t="str">
        <f>IF(B364&lt;&gt;"Dividendo","",IF(Calcoli!$B$251=1,J364,L364))</f>
        <v/>
      </c>
      <c r="W364" t="str">
        <f>IF(AND(V364&lt;&gt;"",ISNUMBER(A364)),A364,"")</f>
        <v/>
      </c>
    </row>
    <row r="365">
      <c r="A365" s="134" t="n"/>
      <c r="B365" s="116" t="n"/>
      <c r="C365" s="116" t="n"/>
      <c r="D365" s="121" t="n"/>
      <c r="E365" s="120" t="n"/>
      <c r="F365" s="120" t="n"/>
      <c r="G365" s="120" t="n"/>
      <c r="H365" s="120" t="n"/>
      <c r="I365" s="117" t="n"/>
      <c r="J365" s="123" t="str">
        <f>IF(B365="","",IF(F365&lt;&gt;"",N(F365),ROUND(N(D365)*N(E365),2)))</f>
        <v/>
      </c>
      <c r="K365" s="123" t="str">
        <f>IF(B365="","",IF(H365&lt;&gt;"",N(H365),IF(B365="Dividendo",ROUND(J365*IFERROR(INDEX(Calcoli!$V$7:$V$21,MATCH(C365,Calcoli!$A$7:$A$21,0)),0.26),2),IF(B365="Vendita",ROUND(MAX(0,U365)*IFERROR(INDEX(Calcoli!$V$7:$V$21,MATCH(C365,Calcoli!$A$7:$A$21,0)),0.26),2),0))))</f>
        <v/>
      </c>
      <c r="L365" s="135" t="str">
        <f>IF(B365="","",IF(B365="Acquisto",-(J365+N(G365)),J365-N(G365)-K365))</f>
        <v/>
      </c>
      <c r="M365" s="127" t="str">
        <f>IF(B365="","",IF(ISNA(MATCH(C365,ETF!$A$7:$A$21,0)),"ETF?",IF(NOT(ISNUMBER(A365)),"Data?",IF(AND(B365&lt;&gt;"Dividendo",N(D365)&lt;=0),"Quote?",IF(AND(B365="Vendita",N(D365)&gt;N(Q365)+0.000001),"Quote?",IF(J365&lt;=0,"Importo?","✓"))))))</f>
        <v/>
      </c>
      <c r="N365" t="str">
        <f>IF(OR(B365="Acquisto",B365="Vendita"),COUNTIFS($C$5:C365,C365,$B$5:B365,"Acquisto")+COUNTIFS($C$5:C365,C365,$B$5:B365,"Vendita"),"")</f>
        <v/>
      </c>
      <c r="O365" t="str">
        <f>IF(N365="","",C365&amp;"|"&amp;N365)</f>
        <v/>
      </c>
      <c r="P365" t="str">
        <f>IF(N365="","",IF(N365=1,0,MATCH(C365&amp;"|"&amp;(N365-1),$O$5:$O$1004,0)))</f>
        <v/>
      </c>
      <c r="Q365" t="str">
        <f>IF(N365="","",IF(P365=0,SUMIFS(Calcoli!$C$7:$C$21,Calcoli!$A$7:$A$21,C365),INDEX($S$5:$S$1004,P365)))</f>
        <v/>
      </c>
      <c r="R365" t="str">
        <f>IF(N365="","",IF(P365=0,SUMIFS(Calcoli!$D$7:$D$21,Calcoli!$A$7:$A$21,C365),INDEX($T$5:$T$1004,P365)))</f>
        <v/>
      </c>
      <c r="S365" t="str">
        <f>IF(N365="","",IF(B365="Acquisto",Q365+N(D365),MAX(0,Q365-N(D365))))</f>
        <v/>
      </c>
      <c r="T365" t="str">
        <f>IF(N365="","",IF(B365="Acquisto",R365+J365+N(G365),IF(Q365&lt;=0,0,R365*(1-MIN(1,N(D365)/Q365)))))</f>
        <v/>
      </c>
      <c r="U365" t="str">
        <f>IF(B365&lt;&gt;"Vendita","",J365-N(G365)-IF(Q365&lt;=0,0,R365*MIN(1,N(D365)/Q365)))</f>
        <v/>
      </c>
      <c r="V365" t="str">
        <f>IF(B365&lt;&gt;"Dividendo","",IF(Calcoli!$B$251=1,J365,L365))</f>
        <v/>
      </c>
      <c r="W365" t="str">
        <f>IF(AND(V365&lt;&gt;"",ISNUMBER(A365)),A365,"")</f>
        <v/>
      </c>
    </row>
    <row r="366">
      <c r="A366" s="134" t="n"/>
      <c r="B366" s="116" t="n"/>
      <c r="C366" s="116" t="n"/>
      <c r="D366" s="121" t="n"/>
      <c r="E366" s="120" t="n"/>
      <c r="F366" s="120" t="n"/>
      <c r="G366" s="120" t="n"/>
      <c r="H366" s="120" t="n"/>
      <c r="I366" s="117" t="n"/>
      <c r="J366" s="123" t="str">
        <f>IF(B366="","",IF(F366&lt;&gt;"",N(F366),ROUND(N(D366)*N(E366),2)))</f>
        <v/>
      </c>
      <c r="K366" s="123" t="str">
        <f>IF(B366="","",IF(H366&lt;&gt;"",N(H366),IF(B366="Dividendo",ROUND(J366*IFERROR(INDEX(Calcoli!$V$7:$V$21,MATCH(C366,Calcoli!$A$7:$A$21,0)),0.26),2),IF(B366="Vendita",ROUND(MAX(0,U366)*IFERROR(INDEX(Calcoli!$V$7:$V$21,MATCH(C366,Calcoli!$A$7:$A$21,0)),0.26),2),0))))</f>
        <v/>
      </c>
      <c r="L366" s="135" t="str">
        <f>IF(B366="","",IF(B366="Acquisto",-(J366+N(G366)),J366-N(G366)-K366))</f>
        <v/>
      </c>
      <c r="M366" s="127" t="str">
        <f>IF(B366="","",IF(ISNA(MATCH(C366,ETF!$A$7:$A$21,0)),"ETF?",IF(NOT(ISNUMBER(A366)),"Data?",IF(AND(B366&lt;&gt;"Dividendo",N(D366)&lt;=0),"Quote?",IF(AND(B366="Vendita",N(D366)&gt;N(Q366)+0.000001),"Quote?",IF(J366&lt;=0,"Importo?","✓"))))))</f>
        <v/>
      </c>
      <c r="N366" t="str">
        <f>IF(OR(B366="Acquisto",B366="Vendita"),COUNTIFS($C$5:C366,C366,$B$5:B366,"Acquisto")+COUNTIFS($C$5:C366,C366,$B$5:B366,"Vendita"),"")</f>
        <v/>
      </c>
      <c r="O366" t="str">
        <f>IF(N366="","",C366&amp;"|"&amp;N366)</f>
        <v/>
      </c>
      <c r="P366" t="str">
        <f>IF(N366="","",IF(N366=1,0,MATCH(C366&amp;"|"&amp;(N366-1),$O$5:$O$1004,0)))</f>
        <v/>
      </c>
      <c r="Q366" t="str">
        <f>IF(N366="","",IF(P366=0,SUMIFS(Calcoli!$C$7:$C$21,Calcoli!$A$7:$A$21,C366),INDEX($S$5:$S$1004,P366)))</f>
        <v/>
      </c>
      <c r="R366" t="str">
        <f>IF(N366="","",IF(P366=0,SUMIFS(Calcoli!$D$7:$D$21,Calcoli!$A$7:$A$21,C366),INDEX($T$5:$T$1004,P366)))</f>
        <v/>
      </c>
      <c r="S366" t="str">
        <f>IF(N366="","",IF(B366="Acquisto",Q366+N(D366),MAX(0,Q366-N(D366))))</f>
        <v/>
      </c>
      <c r="T366" t="str">
        <f>IF(N366="","",IF(B366="Acquisto",R366+J366+N(G366),IF(Q366&lt;=0,0,R366*(1-MIN(1,N(D366)/Q366)))))</f>
        <v/>
      </c>
      <c r="U366" t="str">
        <f>IF(B366&lt;&gt;"Vendita","",J366-N(G366)-IF(Q366&lt;=0,0,R366*MIN(1,N(D366)/Q366)))</f>
        <v/>
      </c>
      <c r="V366" t="str">
        <f>IF(B366&lt;&gt;"Dividendo","",IF(Calcoli!$B$251=1,J366,L366))</f>
        <v/>
      </c>
      <c r="W366" t="str">
        <f>IF(AND(V366&lt;&gt;"",ISNUMBER(A366)),A366,"")</f>
        <v/>
      </c>
    </row>
    <row r="367">
      <c r="A367" s="134" t="n"/>
      <c r="B367" s="116" t="n"/>
      <c r="C367" s="116" t="n"/>
      <c r="D367" s="121" t="n"/>
      <c r="E367" s="120" t="n"/>
      <c r="F367" s="120" t="n"/>
      <c r="G367" s="120" t="n"/>
      <c r="H367" s="120" t="n"/>
      <c r="I367" s="117" t="n"/>
      <c r="J367" s="123" t="str">
        <f>IF(B367="","",IF(F367&lt;&gt;"",N(F367),ROUND(N(D367)*N(E367),2)))</f>
        <v/>
      </c>
      <c r="K367" s="123" t="str">
        <f>IF(B367="","",IF(H367&lt;&gt;"",N(H367),IF(B367="Dividendo",ROUND(J367*IFERROR(INDEX(Calcoli!$V$7:$V$21,MATCH(C367,Calcoli!$A$7:$A$21,0)),0.26),2),IF(B367="Vendita",ROUND(MAX(0,U367)*IFERROR(INDEX(Calcoli!$V$7:$V$21,MATCH(C367,Calcoli!$A$7:$A$21,0)),0.26),2),0))))</f>
        <v/>
      </c>
      <c r="L367" s="135" t="str">
        <f>IF(B367="","",IF(B367="Acquisto",-(J367+N(G367)),J367-N(G367)-K367))</f>
        <v/>
      </c>
      <c r="M367" s="127" t="str">
        <f>IF(B367="","",IF(ISNA(MATCH(C367,ETF!$A$7:$A$21,0)),"ETF?",IF(NOT(ISNUMBER(A367)),"Data?",IF(AND(B367&lt;&gt;"Dividendo",N(D367)&lt;=0),"Quote?",IF(AND(B367="Vendita",N(D367)&gt;N(Q367)+0.000001),"Quote?",IF(J367&lt;=0,"Importo?","✓"))))))</f>
        <v/>
      </c>
      <c r="N367" t="str">
        <f>IF(OR(B367="Acquisto",B367="Vendita"),COUNTIFS($C$5:C367,C367,$B$5:B367,"Acquisto")+COUNTIFS($C$5:C367,C367,$B$5:B367,"Vendita"),"")</f>
        <v/>
      </c>
      <c r="O367" t="str">
        <f>IF(N367="","",C367&amp;"|"&amp;N367)</f>
        <v/>
      </c>
      <c r="P367" t="str">
        <f>IF(N367="","",IF(N367=1,0,MATCH(C367&amp;"|"&amp;(N367-1),$O$5:$O$1004,0)))</f>
        <v/>
      </c>
      <c r="Q367" t="str">
        <f>IF(N367="","",IF(P367=0,SUMIFS(Calcoli!$C$7:$C$21,Calcoli!$A$7:$A$21,C367),INDEX($S$5:$S$1004,P367)))</f>
        <v/>
      </c>
      <c r="R367" t="str">
        <f>IF(N367="","",IF(P367=0,SUMIFS(Calcoli!$D$7:$D$21,Calcoli!$A$7:$A$21,C367),INDEX($T$5:$T$1004,P367)))</f>
        <v/>
      </c>
      <c r="S367" t="str">
        <f>IF(N367="","",IF(B367="Acquisto",Q367+N(D367),MAX(0,Q367-N(D367))))</f>
        <v/>
      </c>
      <c r="T367" t="str">
        <f>IF(N367="","",IF(B367="Acquisto",R367+J367+N(G367),IF(Q367&lt;=0,0,R367*(1-MIN(1,N(D367)/Q367)))))</f>
        <v/>
      </c>
      <c r="U367" t="str">
        <f>IF(B367&lt;&gt;"Vendita","",J367-N(G367)-IF(Q367&lt;=0,0,R367*MIN(1,N(D367)/Q367)))</f>
        <v/>
      </c>
      <c r="V367" t="str">
        <f>IF(B367&lt;&gt;"Dividendo","",IF(Calcoli!$B$251=1,J367,L367))</f>
        <v/>
      </c>
      <c r="W367" t="str">
        <f>IF(AND(V367&lt;&gt;"",ISNUMBER(A367)),A367,"")</f>
        <v/>
      </c>
    </row>
    <row r="368">
      <c r="A368" s="134" t="n"/>
      <c r="B368" s="116" t="n"/>
      <c r="C368" s="116" t="n"/>
      <c r="D368" s="121" t="n"/>
      <c r="E368" s="120" t="n"/>
      <c r="F368" s="120" t="n"/>
      <c r="G368" s="120" t="n"/>
      <c r="H368" s="120" t="n"/>
      <c r="I368" s="117" t="n"/>
      <c r="J368" s="123" t="str">
        <f>IF(B368="","",IF(F368&lt;&gt;"",N(F368),ROUND(N(D368)*N(E368),2)))</f>
        <v/>
      </c>
      <c r="K368" s="123" t="str">
        <f>IF(B368="","",IF(H368&lt;&gt;"",N(H368),IF(B368="Dividendo",ROUND(J368*IFERROR(INDEX(Calcoli!$V$7:$V$21,MATCH(C368,Calcoli!$A$7:$A$21,0)),0.26),2),IF(B368="Vendita",ROUND(MAX(0,U368)*IFERROR(INDEX(Calcoli!$V$7:$V$21,MATCH(C368,Calcoli!$A$7:$A$21,0)),0.26),2),0))))</f>
        <v/>
      </c>
      <c r="L368" s="135" t="str">
        <f>IF(B368="","",IF(B368="Acquisto",-(J368+N(G368)),J368-N(G368)-K368))</f>
        <v/>
      </c>
      <c r="M368" s="127" t="str">
        <f>IF(B368="","",IF(ISNA(MATCH(C368,ETF!$A$7:$A$21,0)),"ETF?",IF(NOT(ISNUMBER(A368)),"Data?",IF(AND(B368&lt;&gt;"Dividendo",N(D368)&lt;=0),"Quote?",IF(AND(B368="Vendita",N(D368)&gt;N(Q368)+0.000001),"Quote?",IF(J368&lt;=0,"Importo?","✓"))))))</f>
        <v/>
      </c>
      <c r="N368" t="str">
        <f>IF(OR(B368="Acquisto",B368="Vendita"),COUNTIFS($C$5:C368,C368,$B$5:B368,"Acquisto")+COUNTIFS($C$5:C368,C368,$B$5:B368,"Vendita"),"")</f>
        <v/>
      </c>
      <c r="O368" t="str">
        <f>IF(N368="","",C368&amp;"|"&amp;N368)</f>
        <v/>
      </c>
      <c r="P368" t="str">
        <f>IF(N368="","",IF(N368=1,0,MATCH(C368&amp;"|"&amp;(N368-1),$O$5:$O$1004,0)))</f>
        <v/>
      </c>
      <c r="Q368" t="str">
        <f>IF(N368="","",IF(P368=0,SUMIFS(Calcoli!$C$7:$C$21,Calcoli!$A$7:$A$21,C368),INDEX($S$5:$S$1004,P368)))</f>
        <v/>
      </c>
      <c r="R368" t="str">
        <f>IF(N368="","",IF(P368=0,SUMIFS(Calcoli!$D$7:$D$21,Calcoli!$A$7:$A$21,C368),INDEX($T$5:$T$1004,P368)))</f>
        <v/>
      </c>
      <c r="S368" t="str">
        <f>IF(N368="","",IF(B368="Acquisto",Q368+N(D368),MAX(0,Q368-N(D368))))</f>
        <v/>
      </c>
      <c r="T368" t="str">
        <f>IF(N368="","",IF(B368="Acquisto",R368+J368+N(G368),IF(Q368&lt;=0,0,R368*(1-MIN(1,N(D368)/Q368)))))</f>
        <v/>
      </c>
      <c r="U368" t="str">
        <f>IF(B368&lt;&gt;"Vendita","",J368-N(G368)-IF(Q368&lt;=0,0,R368*MIN(1,N(D368)/Q368)))</f>
        <v/>
      </c>
      <c r="V368" t="str">
        <f>IF(B368&lt;&gt;"Dividendo","",IF(Calcoli!$B$251=1,J368,L368))</f>
        <v/>
      </c>
      <c r="W368" t="str">
        <f>IF(AND(V368&lt;&gt;"",ISNUMBER(A368)),A368,"")</f>
        <v/>
      </c>
    </row>
    <row r="369">
      <c r="A369" s="134" t="n"/>
      <c r="B369" s="116" t="n"/>
      <c r="C369" s="116" t="n"/>
      <c r="D369" s="121" t="n"/>
      <c r="E369" s="120" t="n"/>
      <c r="F369" s="120" t="n"/>
      <c r="G369" s="120" t="n"/>
      <c r="H369" s="120" t="n"/>
      <c r="I369" s="117" t="n"/>
      <c r="J369" s="123" t="str">
        <f>IF(B369="","",IF(F369&lt;&gt;"",N(F369),ROUND(N(D369)*N(E369),2)))</f>
        <v/>
      </c>
      <c r="K369" s="123" t="str">
        <f>IF(B369="","",IF(H369&lt;&gt;"",N(H369),IF(B369="Dividendo",ROUND(J369*IFERROR(INDEX(Calcoli!$V$7:$V$21,MATCH(C369,Calcoli!$A$7:$A$21,0)),0.26),2),IF(B369="Vendita",ROUND(MAX(0,U369)*IFERROR(INDEX(Calcoli!$V$7:$V$21,MATCH(C369,Calcoli!$A$7:$A$21,0)),0.26),2),0))))</f>
        <v/>
      </c>
      <c r="L369" s="135" t="str">
        <f>IF(B369="","",IF(B369="Acquisto",-(J369+N(G369)),J369-N(G369)-K369))</f>
        <v/>
      </c>
      <c r="M369" s="127" t="str">
        <f>IF(B369="","",IF(ISNA(MATCH(C369,ETF!$A$7:$A$21,0)),"ETF?",IF(NOT(ISNUMBER(A369)),"Data?",IF(AND(B369&lt;&gt;"Dividendo",N(D369)&lt;=0),"Quote?",IF(AND(B369="Vendita",N(D369)&gt;N(Q369)+0.000001),"Quote?",IF(J369&lt;=0,"Importo?","✓"))))))</f>
        <v/>
      </c>
      <c r="N369" t="str">
        <f>IF(OR(B369="Acquisto",B369="Vendita"),COUNTIFS($C$5:C369,C369,$B$5:B369,"Acquisto")+COUNTIFS($C$5:C369,C369,$B$5:B369,"Vendita"),"")</f>
        <v/>
      </c>
      <c r="O369" t="str">
        <f>IF(N369="","",C369&amp;"|"&amp;N369)</f>
        <v/>
      </c>
      <c r="P369" t="str">
        <f>IF(N369="","",IF(N369=1,0,MATCH(C369&amp;"|"&amp;(N369-1),$O$5:$O$1004,0)))</f>
        <v/>
      </c>
      <c r="Q369" t="str">
        <f>IF(N369="","",IF(P369=0,SUMIFS(Calcoli!$C$7:$C$21,Calcoli!$A$7:$A$21,C369),INDEX($S$5:$S$1004,P369)))</f>
        <v/>
      </c>
      <c r="R369" t="str">
        <f>IF(N369="","",IF(P369=0,SUMIFS(Calcoli!$D$7:$D$21,Calcoli!$A$7:$A$21,C369),INDEX($T$5:$T$1004,P369)))</f>
        <v/>
      </c>
      <c r="S369" t="str">
        <f>IF(N369="","",IF(B369="Acquisto",Q369+N(D369),MAX(0,Q369-N(D369))))</f>
        <v/>
      </c>
      <c r="T369" t="str">
        <f>IF(N369="","",IF(B369="Acquisto",R369+J369+N(G369),IF(Q369&lt;=0,0,R369*(1-MIN(1,N(D369)/Q369)))))</f>
        <v/>
      </c>
      <c r="U369" t="str">
        <f>IF(B369&lt;&gt;"Vendita","",J369-N(G369)-IF(Q369&lt;=0,0,R369*MIN(1,N(D369)/Q369)))</f>
        <v/>
      </c>
      <c r="V369" t="str">
        <f>IF(B369&lt;&gt;"Dividendo","",IF(Calcoli!$B$251=1,J369,L369))</f>
        <v/>
      </c>
      <c r="W369" t="str">
        <f>IF(AND(V369&lt;&gt;"",ISNUMBER(A369)),A369,"")</f>
        <v/>
      </c>
    </row>
    <row r="370">
      <c r="A370" s="134" t="n"/>
      <c r="B370" s="116" t="n"/>
      <c r="C370" s="116" t="n"/>
      <c r="D370" s="121" t="n"/>
      <c r="E370" s="120" t="n"/>
      <c r="F370" s="120" t="n"/>
      <c r="G370" s="120" t="n"/>
      <c r="H370" s="120" t="n"/>
      <c r="I370" s="117" t="n"/>
      <c r="J370" s="123" t="str">
        <f>IF(B370="","",IF(F370&lt;&gt;"",N(F370),ROUND(N(D370)*N(E370),2)))</f>
        <v/>
      </c>
      <c r="K370" s="123" t="str">
        <f>IF(B370="","",IF(H370&lt;&gt;"",N(H370),IF(B370="Dividendo",ROUND(J370*IFERROR(INDEX(Calcoli!$V$7:$V$21,MATCH(C370,Calcoli!$A$7:$A$21,0)),0.26),2),IF(B370="Vendita",ROUND(MAX(0,U370)*IFERROR(INDEX(Calcoli!$V$7:$V$21,MATCH(C370,Calcoli!$A$7:$A$21,0)),0.26),2),0))))</f>
        <v/>
      </c>
      <c r="L370" s="135" t="str">
        <f>IF(B370="","",IF(B370="Acquisto",-(J370+N(G370)),J370-N(G370)-K370))</f>
        <v/>
      </c>
      <c r="M370" s="127" t="str">
        <f>IF(B370="","",IF(ISNA(MATCH(C370,ETF!$A$7:$A$21,0)),"ETF?",IF(NOT(ISNUMBER(A370)),"Data?",IF(AND(B370&lt;&gt;"Dividendo",N(D370)&lt;=0),"Quote?",IF(AND(B370="Vendita",N(D370)&gt;N(Q370)+0.000001),"Quote?",IF(J370&lt;=0,"Importo?","✓"))))))</f>
        <v/>
      </c>
      <c r="N370" t="str">
        <f>IF(OR(B370="Acquisto",B370="Vendita"),COUNTIFS($C$5:C370,C370,$B$5:B370,"Acquisto")+COUNTIFS($C$5:C370,C370,$B$5:B370,"Vendita"),"")</f>
        <v/>
      </c>
      <c r="O370" t="str">
        <f>IF(N370="","",C370&amp;"|"&amp;N370)</f>
        <v/>
      </c>
      <c r="P370" t="str">
        <f>IF(N370="","",IF(N370=1,0,MATCH(C370&amp;"|"&amp;(N370-1),$O$5:$O$1004,0)))</f>
        <v/>
      </c>
      <c r="Q370" t="str">
        <f>IF(N370="","",IF(P370=0,SUMIFS(Calcoli!$C$7:$C$21,Calcoli!$A$7:$A$21,C370),INDEX($S$5:$S$1004,P370)))</f>
        <v/>
      </c>
      <c r="R370" t="str">
        <f>IF(N370="","",IF(P370=0,SUMIFS(Calcoli!$D$7:$D$21,Calcoli!$A$7:$A$21,C370),INDEX($T$5:$T$1004,P370)))</f>
        <v/>
      </c>
      <c r="S370" t="str">
        <f>IF(N370="","",IF(B370="Acquisto",Q370+N(D370),MAX(0,Q370-N(D370))))</f>
        <v/>
      </c>
      <c r="T370" t="str">
        <f>IF(N370="","",IF(B370="Acquisto",R370+J370+N(G370),IF(Q370&lt;=0,0,R370*(1-MIN(1,N(D370)/Q370)))))</f>
        <v/>
      </c>
      <c r="U370" t="str">
        <f>IF(B370&lt;&gt;"Vendita","",J370-N(G370)-IF(Q370&lt;=0,0,R370*MIN(1,N(D370)/Q370)))</f>
        <v/>
      </c>
      <c r="V370" t="str">
        <f>IF(B370&lt;&gt;"Dividendo","",IF(Calcoli!$B$251=1,J370,L370))</f>
        <v/>
      </c>
      <c r="W370" t="str">
        <f>IF(AND(V370&lt;&gt;"",ISNUMBER(A370)),A370,"")</f>
        <v/>
      </c>
    </row>
    <row r="371">
      <c r="A371" s="134" t="n"/>
      <c r="B371" s="116" t="n"/>
      <c r="C371" s="116" t="n"/>
      <c r="D371" s="121" t="n"/>
      <c r="E371" s="120" t="n"/>
      <c r="F371" s="120" t="n"/>
      <c r="G371" s="120" t="n"/>
      <c r="H371" s="120" t="n"/>
      <c r="I371" s="117" t="n"/>
      <c r="J371" s="123" t="str">
        <f>IF(B371="","",IF(F371&lt;&gt;"",N(F371),ROUND(N(D371)*N(E371),2)))</f>
        <v/>
      </c>
      <c r="K371" s="123" t="str">
        <f>IF(B371="","",IF(H371&lt;&gt;"",N(H371),IF(B371="Dividendo",ROUND(J371*IFERROR(INDEX(Calcoli!$V$7:$V$21,MATCH(C371,Calcoli!$A$7:$A$21,0)),0.26),2),IF(B371="Vendita",ROUND(MAX(0,U371)*IFERROR(INDEX(Calcoli!$V$7:$V$21,MATCH(C371,Calcoli!$A$7:$A$21,0)),0.26),2),0))))</f>
        <v/>
      </c>
      <c r="L371" s="135" t="str">
        <f>IF(B371="","",IF(B371="Acquisto",-(J371+N(G371)),J371-N(G371)-K371))</f>
        <v/>
      </c>
      <c r="M371" s="127" t="str">
        <f>IF(B371="","",IF(ISNA(MATCH(C371,ETF!$A$7:$A$21,0)),"ETF?",IF(NOT(ISNUMBER(A371)),"Data?",IF(AND(B371&lt;&gt;"Dividendo",N(D371)&lt;=0),"Quote?",IF(AND(B371="Vendita",N(D371)&gt;N(Q371)+0.000001),"Quote?",IF(J371&lt;=0,"Importo?","✓"))))))</f>
        <v/>
      </c>
      <c r="N371" t="str">
        <f>IF(OR(B371="Acquisto",B371="Vendita"),COUNTIFS($C$5:C371,C371,$B$5:B371,"Acquisto")+COUNTIFS($C$5:C371,C371,$B$5:B371,"Vendita"),"")</f>
        <v/>
      </c>
      <c r="O371" t="str">
        <f>IF(N371="","",C371&amp;"|"&amp;N371)</f>
        <v/>
      </c>
      <c r="P371" t="str">
        <f>IF(N371="","",IF(N371=1,0,MATCH(C371&amp;"|"&amp;(N371-1),$O$5:$O$1004,0)))</f>
        <v/>
      </c>
      <c r="Q371" t="str">
        <f>IF(N371="","",IF(P371=0,SUMIFS(Calcoli!$C$7:$C$21,Calcoli!$A$7:$A$21,C371),INDEX($S$5:$S$1004,P371)))</f>
        <v/>
      </c>
      <c r="R371" t="str">
        <f>IF(N371="","",IF(P371=0,SUMIFS(Calcoli!$D$7:$D$21,Calcoli!$A$7:$A$21,C371),INDEX($T$5:$T$1004,P371)))</f>
        <v/>
      </c>
      <c r="S371" t="str">
        <f>IF(N371="","",IF(B371="Acquisto",Q371+N(D371),MAX(0,Q371-N(D371))))</f>
        <v/>
      </c>
      <c r="T371" t="str">
        <f>IF(N371="","",IF(B371="Acquisto",R371+J371+N(G371),IF(Q371&lt;=0,0,R371*(1-MIN(1,N(D371)/Q371)))))</f>
        <v/>
      </c>
      <c r="U371" t="str">
        <f>IF(B371&lt;&gt;"Vendita","",J371-N(G371)-IF(Q371&lt;=0,0,R371*MIN(1,N(D371)/Q371)))</f>
        <v/>
      </c>
      <c r="V371" t="str">
        <f>IF(B371&lt;&gt;"Dividendo","",IF(Calcoli!$B$251=1,J371,L371))</f>
        <v/>
      </c>
      <c r="W371" t="str">
        <f>IF(AND(V371&lt;&gt;"",ISNUMBER(A371)),A371,"")</f>
        <v/>
      </c>
    </row>
    <row r="372">
      <c r="A372" s="134" t="n"/>
      <c r="B372" s="116" t="n"/>
      <c r="C372" s="116" t="n"/>
      <c r="D372" s="121" t="n"/>
      <c r="E372" s="120" t="n"/>
      <c r="F372" s="120" t="n"/>
      <c r="G372" s="120" t="n"/>
      <c r="H372" s="120" t="n"/>
      <c r="I372" s="117" t="n"/>
      <c r="J372" s="123" t="str">
        <f>IF(B372="","",IF(F372&lt;&gt;"",N(F372),ROUND(N(D372)*N(E372),2)))</f>
        <v/>
      </c>
      <c r="K372" s="123" t="str">
        <f>IF(B372="","",IF(H372&lt;&gt;"",N(H372),IF(B372="Dividendo",ROUND(J372*IFERROR(INDEX(Calcoli!$V$7:$V$21,MATCH(C372,Calcoli!$A$7:$A$21,0)),0.26),2),IF(B372="Vendita",ROUND(MAX(0,U372)*IFERROR(INDEX(Calcoli!$V$7:$V$21,MATCH(C372,Calcoli!$A$7:$A$21,0)),0.26),2),0))))</f>
        <v/>
      </c>
      <c r="L372" s="135" t="str">
        <f>IF(B372="","",IF(B372="Acquisto",-(J372+N(G372)),J372-N(G372)-K372))</f>
        <v/>
      </c>
      <c r="M372" s="127" t="str">
        <f>IF(B372="","",IF(ISNA(MATCH(C372,ETF!$A$7:$A$21,0)),"ETF?",IF(NOT(ISNUMBER(A372)),"Data?",IF(AND(B372&lt;&gt;"Dividendo",N(D372)&lt;=0),"Quote?",IF(AND(B372="Vendita",N(D372)&gt;N(Q372)+0.000001),"Quote?",IF(J372&lt;=0,"Importo?","✓"))))))</f>
        <v/>
      </c>
      <c r="N372" t="str">
        <f>IF(OR(B372="Acquisto",B372="Vendita"),COUNTIFS($C$5:C372,C372,$B$5:B372,"Acquisto")+COUNTIFS($C$5:C372,C372,$B$5:B372,"Vendita"),"")</f>
        <v/>
      </c>
      <c r="O372" t="str">
        <f>IF(N372="","",C372&amp;"|"&amp;N372)</f>
        <v/>
      </c>
      <c r="P372" t="str">
        <f>IF(N372="","",IF(N372=1,0,MATCH(C372&amp;"|"&amp;(N372-1),$O$5:$O$1004,0)))</f>
        <v/>
      </c>
      <c r="Q372" t="str">
        <f>IF(N372="","",IF(P372=0,SUMIFS(Calcoli!$C$7:$C$21,Calcoli!$A$7:$A$21,C372),INDEX($S$5:$S$1004,P372)))</f>
        <v/>
      </c>
      <c r="R372" t="str">
        <f>IF(N372="","",IF(P372=0,SUMIFS(Calcoli!$D$7:$D$21,Calcoli!$A$7:$A$21,C372),INDEX($T$5:$T$1004,P372)))</f>
        <v/>
      </c>
      <c r="S372" t="str">
        <f>IF(N372="","",IF(B372="Acquisto",Q372+N(D372),MAX(0,Q372-N(D372))))</f>
        <v/>
      </c>
      <c r="T372" t="str">
        <f>IF(N372="","",IF(B372="Acquisto",R372+J372+N(G372),IF(Q372&lt;=0,0,R372*(1-MIN(1,N(D372)/Q372)))))</f>
        <v/>
      </c>
      <c r="U372" t="str">
        <f>IF(B372&lt;&gt;"Vendita","",J372-N(G372)-IF(Q372&lt;=0,0,R372*MIN(1,N(D372)/Q372)))</f>
        <v/>
      </c>
      <c r="V372" t="str">
        <f>IF(B372&lt;&gt;"Dividendo","",IF(Calcoli!$B$251=1,J372,L372))</f>
        <v/>
      </c>
      <c r="W372" t="str">
        <f>IF(AND(V372&lt;&gt;"",ISNUMBER(A372)),A372,"")</f>
        <v/>
      </c>
    </row>
    <row r="373">
      <c r="A373" s="134" t="n"/>
      <c r="B373" s="116" t="n"/>
      <c r="C373" s="116" t="n"/>
      <c r="D373" s="121" t="n"/>
      <c r="E373" s="120" t="n"/>
      <c r="F373" s="120" t="n"/>
      <c r="G373" s="120" t="n"/>
      <c r="H373" s="120" t="n"/>
      <c r="I373" s="117" t="n"/>
      <c r="J373" s="123" t="str">
        <f>IF(B373="","",IF(F373&lt;&gt;"",N(F373),ROUND(N(D373)*N(E373),2)))</f>
        <v/>
      </c>
      <c r="K373" s="123" t="str">
        <f>IF(B373="","",IF(H373&lt;&gt;"",N(H373),IF(B373="Dividendo",ROUND(J373*IFERROR(INDEX(Calcoli!$V$7:$V$21,MATCH(C373,Calcoli!$A$7:$A$21,0)),0.26),2),IF(B373="Vendita",ROUND(MAX(0,U373)*IFERROR(INDEX(Calcoli!$V$7:$V$21,MATCH(C373,Calcoli!$A$7:$A$21,0)),0.26),2),0))))</f>
        <v/>
      </c>
      <c r="L373" s="135" t="str">
        <f>IF(B373="","",IF(B373="Acquisto",-(J373+N(G373)),J373-N(G373)-K373))</f>
        <v/>
      </c>
      <c r="M373" s="127" t="str">
        <f>IF(B373="","",IF(ISNA(MATCH(C373,ETF!$A$7:$A$21,0)),"ETF?",IF(NOT(ISNUMBER(A373)),"Data?",IF(AND(B373&lt;&gt;"Dividendo",N(D373)&lt;=0),"Quote?",IF(AND(B373="Vendita",N(D373)&gt;N(Q373)+0.000001),"Quote?",IF(J373&lt;=0,"Importo?","✓"))))))</f>
        <v/>
      </c>
      <c r="N373" t="str">
        <f>IF(OR(B373="Acquisto",B373="Vendita"),COUNTIFS($C$5:C373,C373,$B$5:B373,"Acquisto")+COUNTIFS($C$5:C373,C373,$B$5:B373,"Vendita"),"")</f>
        <v/>
      </c>
      <c r="O373" t="str">
        <f>IF(N373="","",C373&amp;"|"&amp;N373)</f>
        <v/>
      </c>
      <c r="P373" t="str">
        <f>IF(N373="","",IF(N373=1,0,MATCH(C373&amp;"|"&amp;(N373-1),$O$5:$O$1004,0)))</f>
        <v/>
      </c>
      <c r="Q373" t="str">
        <f>IF(N373="","",IF(P373=0,SUMIFS(Calcoli!$C$7:$C$21,Calcoli!$A$7:$A$21,C373),INDEX($S$5:$S$1004,P373)))</f>
        <v/>
      </c>
      <c r="R373" t="str">
        <f>IF(N373="","",IF(P373=0,SUMIFS(Calcoli!$D$7:$D$21,Calcoli!$A$7:$A$21,C373),INDEX($T$5:$T$1004,P373)))</f>
        <v/>
      </c>
      <c r="S373" t="str">
        <f>IF(N373="","",IF(B373="Acquisto",Q373+N(D373),MAX(0,Q373-N(D373))))</f>
        <v/>
      </c>
      <c r="T373" t="str">
        <f>IF(N373="","",IF(B373="Acquisto",R373+J373+N(G373),IF(Q373&lt;=0,0,R373*(1-MIN(1,N(D373)/Q373)))))</f>
        <v/>
      </c>
      <c r="U373" t="str">
        <f>IF(B373&lt;&gt;"Vendita","",J373-N(G373)-IF(Q373&lt;=0,0,R373*MIN(1,N(D373)/Q373)))</f>
        <v/>
      </c>
      <c r="V373" t="str">
        <f>IF(B373&lt;&gt;"Dividendo","",IF(Calcoli!$B$251=1,J373,L373))</f>
        <v/>
      </c>
      <c r="W373" t="str">
        <f>IF(AND(V373&lt;&gt;"",ISNUMBER(A373)),A373,"")</f>
        <v/>
      </c>
    </row>
    <row r="374">
      <c r="A374" s="134" t="n"/>
      <c r="B374" s="116" t="n"/>
      <c r="C374" s="116" t="n"/>
      <c r="D374" s="121" t="n"/>
      <c r="E374" s="120" t="n"/>
      <c r="F374" s="120" t="n"/>
      <c r="G374" s="120" t="n"/>
      <c r="H374" s="120" t="n"/>
      <c r="I374" s="117" t="n"/>
      <c r="J374" s="123" t="str">
        <f>IF(B374="","",IF(F374&lt;&gt;"",N(F374),ROUND(N(D374)*N(E374),2)))</f>
        <v/>
      </c>
      <c r="K374" s="123" t="str">
        <f>IF(B374="","",IF(H374&lt;&gt;"",N(H374),IF(B374="Dividendo",ROUND(J374*IFERROR(INDEX(Calcoli!$V$7:$V$21,MATCH(C374,Calcoli!$A$7:$A$21,0)),0.26),2),IF(B374="Vendita",ROUND(MAX(0,U374)*IFERROR(INDEX(Calcoli!$V$7:$V$21,MATCH(C374,Calcoli!$A$7:$A$21,0)),0.26),2),0))))</f>
        <v/>
      </c>
      <c r="L374" s="135" t="str">
        <f>IF(B374="","",IF(B374="Acquisto",-(J374+N(G374)),J374-N(G374)-K374))</f>
        <v/>
      </c>
      <c r="M374" s="127" t="str">
        <f>IF(B374="","",IF(ISNA(MATCH(C374,ETF!$A$7:$A$21,0)),"ETF?",IF(NOT(ISNUMBER(A374)),"Data?",IF(AND(B374&lt;&gt;"Dividendo",N(D374)&lt;=0),"Quote?",IF(AND(B374="Vendita",N(D374)&gt;N(Q374)+0.000001),"Quote?",IF(J374&lt;=0,"Importo?","✓"))))))</f>
        <v/>
      </c>
      <c r="N374" t="str">
        <f>IF(OR(B374="Acquisto",B374="Vendita"),COUNTIFS($C$5:C374,C374,$B$5:B374,"Acquisto")+COUNTIFS($C$5:C374,C374,$B$5:B374,"Vendita"),"")</f>
        <v/>
      </c>
      <c r="O374" t="str">
        <f>IF(N374="","",C374&amp;"|"&amp;N374)</f>
        <v/>
      </c>
      <c r="P374" t="str">
        <f>IF(N374="","",IF(N374=1,0,MATCH(C374&amp;"|"&amp;(N374-1),$O$5:$O$1004,0)))</f>
        <v/>
      </c>
      <c r="Q374" t="str">
        <f>IF(N374="","",IF(P374=0,SUMIFS(Calcoli!$C$7:$C$21,Calcoli!$A$7:$A$21,C374),INDEX($S$5:$S$1004,P374)))</f>
        <v/>
      </c>
      <c r="R374" t="str">
        <f>IF(N374="","",IF(P374=0,SUMIFS(Calcoli!$D$7:$D$21,Calcoli!$A$7:$A$21,C374),INDEX($T$5:$T$1004,P374)))</f>
        <v/>
      </c>
      <c r="S374" t="str">
        <f>IF(N374="","",IF(B374="Acquisto",Q374+N(D374),MAX(0,Q374-N(D374))))</f>
        <v/>
      </c>
      <c r="T374" t="str">
        <f>IF(N374="","",IF(B374="Acquisto",R374+J374+N(G374),IF(Q374&lt;=0,0,R374*(1-MIN(1,N(D374)/Q374)))))</f>
        <v/>
      </c>
      <c r="U374" t="str">
        <f>IF(B374&lt;&gt;"Vendita","",J374-N(G374)-IF(Q374&lt;=0,0,R374*MIN(1,N(D374)/Q374)))</f>
        <v/>
      </c>
      <c r="V374" t="str">
        <f>IF(B374&lt;&gt;"Dividendo","",IF(Calcoli!$B$251=1,J374,L374))</f>
        <v/>
      </c>
      <c r="W374" t="str">
        <f>IF(AND(V374&lt;&gt;"",ISNUMBER(A374)),A374,"")</f>
        <v/>
      </c>
    </row>
    <row r="375">
      <c r="A375" s="134" t="n"/>
      <c r="B375" s="116" t="n"/>
      <c r="C375" s="116" t="n"/>
      <c r="D375" s="121" t="n"/>
      <c r="E375" s="120" t="n"/>
      <c r="F375" s="120" t="n"/>
      <c r="G375" s="120" t="n"/>
      <c r="H375" s="120" t="n"/>
      <c r="I375" s="117" t="n"/>
      <c r="J375" s="123" t="str">
        <f>IF(B375="","",IF(F375&lt;&gt;"",N(F375),ROUND(N(D375)*N(E375),2)))</f>
        <v/>
      </c>
      <c r="K375" s="123" t="str">
        <f>IF(B375="","",IF(H375&lt;&gt;"",N(H375),IF(B375="Dividendo",ROUND(J375*IFERROR(INDEX(Calcoli!$V$7:$V$21,MATCH(C375,Calcoli!$A$7:$A$21,0)),0.26),2),IF(B375="Vendita",ROUND(MAX(0,U375)*IFERROR(INDEX(Calcoli!$V$7:$V$21,MATCH(C375,Calcoli!$A$7:$A$21,0)),0.26),2),0))))</f>
        <v/>
      </c>
      <c r="L375" s="135" t="str">
        <f>IF(B375="","",IF(B375="Acquisto",-(J375+N(G375)),J375-N(G375)-K375))</f>
        <v/>
      </c>
      <c r="M375" s="127" t="str">
        <f>IF(B375="","",IF(ISNA(MATCH(C375,ETF!$A$7:$A$21,0)),"ETF?",IF(NOT(ISNUMBER(A375)),"Data?",IF(AND(B375&lt;&gt;"Dividendo",N(D375)&lt;=0),"Quote?",IF(AND(B375="Vendita",N(D375)&gt;N(Q375)+0.000001),"Quote?",IF(J375&lt;=0,"Importo?","✓"))))))</f>
        <v/>
      </c>
      <c r="N375" t="str">
        <f>IF(OR(B375="Acquisto",B375="Vendita"),COUNTIFS($C$5:C375,C375,$B$5:B375,"Acquisto")+COUNTIFS($C$5:C375,C375,$B$5:B375,"Vendita"),"")</f>
        <v/>
      </c>
      <c r="O375" t="str">
        <f>IF(N375="","",C375&amp;"|"&amp;N375)</f>
        <v/>
      </c>
      <c r="P375" t="str">
        <f>IF(N375="","",IF(N375=1,0,MATCH(C375&amp;"|"&amp;(N375-1),$O$5:$O$1004,0)))</f>
        <v/>
      </c>
      <c r="Q375" t="str">
        <f>IF(N375="","",IF(P375=0,SUMIFS(Calcoli!$C$7:$C$21,Calcoli!$A$7:$A$21,C375),INDEX($S$5:$S$1004,P375)))</f>
        <v/>
      </c>
      <c r="R375" t="str">
        <f>IF(N375="","",IF(P375=0,SUMIFS(Calcoli!$D$7:$D$21,Calcoli!$A$7:$A$21,C375),INDEX($T$5:$T$1004,P375)))</f>
        <v/>
      </c>
      <c r="S375" t="str">
        <f>IF(N375="","",IF(B375="Acquisto",Q375+N(D375),MAX(0,Q375-N(D375))))</f>
        <v/>
      </c>
      <c r="T375" t="str">
        <f>IF(N375="","",IF(B375="Acquisto",R375+J375+N(G375),IF(Q375&lt;=0,0,R375*(1-MIN(1,N(D375)/Q375)))))</f>
        <v/>
      </c>
      <c r="U375" t="str">
        <f>IF(B375&lt;&gt;"Vendita","",J375-N(G375)-IF(Q375&lt;=0,0,R375*MIN(1,N(D375)/Q375)))</f>
        <v/>
      </c>
      <c r="V375" t="str">
        <f>IF(B375&lt;&gt;"Dividendo","",IF(Calcoli!$B$251=1,J375,L375))</f>
        <v/>
      </c>
      <c r="W375" t="str">
        <f>IF(AND(V375&lt;&gt;"",ISNUMBER(A375)),A375,"")</f>
        <v/>
      </c>
    </row>
    <row r="376">
      <c r="A376" s="134" t="n"/>
      <c r="B376" s="116" t="n"/>
      <c r="C376" s="116" t="n"/>
      <c r="D376" s="121" t="n"/>
      <c r="E376" s="120" t="n"/>
      <c r="F376" s="120" t="n"/>
      <c r="G376" s="120" t="n"/>
      <c r="H376" s="120" t="n"/>
      <c r="I376" s="117" t="n"/>
      <c r="J376" s="123" t="str">
        <f>IF(B376="","",IF(F376&lt;&gt;"",N(F376),ROUND(N(D376)*N(E376),2)))</f>
        <v/>
      </c>
      <c r="K376" s="123" t="str">
        <f>IF(B376="","",IF(H376&lt;&gt;"",N(H376),IF(B376="Dividendo",ROUND(J376*IFERROR(INDEX(Calcoli!$V$7:$V$21,MATCH(C376,Calcoli!$A$7:$A$21,0)),0.26),2),IF(B376="Vendita",ROUND(MAX(0,U376)*IFERROR(INDEX(Calcoli!$V$7:$V$21,MATCH(C376,Calcoli!$A$7:$A$21,0)),0.26),2),0))))</f>
        <v/>
      </c>
      <c r="L376" s="135" t="str">
        <f>IF(B376="","",IF(B376="Acquisto",-(J376+N(G376)),J376-N(G376)-K376))</f>
        <v/>
      </c>
      <c r="M376" s="127" t="str">
        <f>IF(B376="","",IF(ISNA(MATCH(C376,ETF!$A$7:$A$21,0)),"ETF?",IF(NOT(ISNUMBER(A376)),"Data?",IF(AND(B376&lt;&gt;"Dividendo",N(D376)&lt;=0),"Quote?",IF(AND(B376="Vendita",N(D376)&gt;N(Q376)+0.000001),"Quote?",IF(J376&lt;=0,"Importo?","✓"))))))</f>
        <v/>
      </c>
      <c r="N376" t="str">
        <f>IF(OR(B376="Acquisto",B376="Vendita"),COUNTIFS($C$5:C376,C376,$B$5:B376,"Acquisto")+COUNTIFS($C$5:C376,C376,$B$5:B376,"Vendita"),"")</f>
        <v/>
      </c>
      <c r="O376" t="str">
        <f>IF(N376="","",C376&amp;"|"&amp;N376)</f>
        <v/>
      </c>
      <c r="P376" t="str">
        <f>IF(N376="","",IF(N376=1,0,MATCH(C376&amp;"|"&amp;(N376-1),$O$5:$O$1004,0)))</f>
        <v/>
      </c>
      <c r="Q376" t="str">
        <f>IF(N376="","",IF(P376=0,SUMIFS(Calcoli!$C$7:$C$21,Calcoli!$A$7:$A$21,C376),INDEX($S$5:$S$1004,P376)))</f>
        <v/>
      </c>
      <c r="R376" t="str">
        <f>IF(N376="","",IF(P376=0,SUMIFS(Calcoli!$D$7:$D$21,Calcoli!$A$7:$A$21,C376),INDEX($T$5:$T$1004,P376)))</f>
        <v/>
      </c>
      <c r="S376" t="str">
        <f>IF(N376="","",IF(B376="Acquisto",Q376+N(D376),MAX(0,Q376-N(D376))))</f>
        <v/>
      </c>
      <c r="T376" t="str">
        <f>IF(N376="","",IF(B376="Acquisto",R376+J376+N(G376),IF(Q376&lt;=0,0,R376*(1-MIN(1,N(D376)/Q376)))))</f>
        <v/>
      </c>
      <c r="U376" t="str">
        <f>IF(B376&lt;&gt;"Vendita","",J376-N(G376)-IF(Q376&lt;=0,0,R376*MIN(1,N(D376)/Q376)))</f>
        <v/>
      </c>
      <c r="V376" t="str">
        <f>IF(B376&lt;&gt;"Dividendo","",IF(Calcoli!$B$251=1,J376,L376))</f>
        <v/>
      </c>
      <c r="W376" t="str">
        <f>IF(AND(V376&lt;&gt;"",ISNUMBER(A376)),A376,"")</f>
        <v/>
      </c>
    </row>
    <row r="377">
      <c r="A377" s="134" t="n"/>
      <c r="B377" s="116" t="n"/>
      <c r="C377" s="116" t="n"/>
      <c r="D377" s="121" t="n"/>
      <c r="E377" s="120" t="n"/>
      <c r="F377" s="120" t="n"/>
      <c r="G377" s="120" t="n"/>
      <c r="H377" s="120" t="n"/>
      <c r="I377" s="117" t="n"/>
      <c r="J377" s="123" t="str">
        <f>IF(B377="","",IF(F377&lt;&gt;"",N(F377),ROUND(N(D377)*N(E377),2)))</f>
        <v/>
      </c>
      <c r="K377" s="123" t="str">
        <f>IF(B377="","",IF(H377&lt;&gt;"",N(H377),IF(B377="Dividendo",ROUND(J377*IFERROR(INDEX(Calcoli!$V$7:$V$21,MATCH(C377,Calcoli!$A$7:$A$21,0)),0.26),2),IF(B377="Vendita",ROUND(MAX(0,U377)*IFERROR(INDEX(Calcoli!$V$7:$V$21,MATCH(C377,Calcoli!$A$7:$A$21,0)),0.26),2),0))))</f>
        <v/>
      </c>
      <c r="L377" s="135" t="str">
        <f>IF(B377="","",IF(B377="Acquisto",-(J377+N(G377)),J377-N(G377)-K377))</f>
        <v/>
      </c>
      <c r="M377" s="127" t="str">
        <f>IF(B377="","",IF(ISNA(MATCH(C377,ETF!$A$7:$A$21,0)),"ETF?",IF(NOT(ISNUMBER(A377)),"Data?",IF(AND(B377&lt;&gt;"Dividendo",N(D377)&lt;=0),"Quote?",IF(AND(B377="Vendita",N(D377)&gt;N(Q377)+0.000001),"Quote?",IF(J377&lt;=0,"Importo?","✓"))))))</f>
        <v/>
      </c>
      <c r="N377" t="str">
        <f>IF(OR(B377="Acquisto",B377="Vendita"),COUNTIFS($C$5:C377,C377,$B$5:B377,"Acquisto")+COUNTIFS($C$5:C377,C377,$B$5:B377,"Vendita"),"")</f>
        <v/>
      </c>
      <c r="O377" t="str">
        <f>IF(N377="","",C377&amp;"|"&amp;N377)</f>
        <v/>
      </c>
      <c r="P377" t="str">
        <f>IF(N377="","",IF(N377=1,0,MATCH(C377&amp;"|"&amp;(N377-1),$O$5:$O$1004,0)))</f>
        <v/>
      </c>
      <c r="Q377" t="str">
        <f>IF(N377="","",IF(P377=0,SUMIFS(Calcoli!$C$7:$C$21,Calcoli!$A$7:$A$21,C377),INDEX($S$5:$S$1004,P377)))</f>
        <v/>
      </c>
      <c r="R377" t="str">
        <f>IF(N377="","",IF(P377=0,SUMIFS(Calcoli!$D$7:$D$21,Calcoli!$A$7:$A$21,C377),INDEX($T$5:$T$1004,P377)))</f>
        <v/>
      </c>
      <c r="S377" t="str">
        <f>IF(N377="","",IF(B377="Acquisto",Q377+N(D377),MAX(0,Q377-N(D377))))</f>
        <v/>
      </c>
      <c r="T377" t="str">
        <f>IF(N377="","",IF(B377="Acquisto",R377+J377+N(G377),IF(Q377&lt;=0,0,R377*(1-MIN(1,N(D377)/Q377)))))</f>
        <v/>
      </c>
      <c r="U377" t="str">
        <f>IF(B377&lt;&gt;"Vendita","",J377-N(G377)-IF(Q377&lt;=0,0,R377*MIN(1,N(D377)/Q377)))</f>
        <v/>
      </c>
      <c r="V377" t="str">
        <f>IF(B377&lt;&gt;"Dividendo","",IF(Calcoli!$B$251=1,J377,L377))</f>
        <v/>
      </c>
      <c r="W377" t="str">
        <f>IF(AND(V377&lt;&gt;"",ISNUMBER(A377)),A377,"")</f>
        <v/>
      </c>
    </row>
    <row r="378">
      <c r="A378" s="134" t="n"/>
      <c r="B378" s="116" t="n"/>
      <c r="C378" s="116" t="n"/>
      <c r="D378" s="121" t="n"/>
      <c r="E378" s="120" t="n"/>
      <c r="F378" s="120" t="n"/>
      <c r="G378" s="120" t="n"/>
      <c r="H378" s="120" t="n"/>
      <c r="I378" s="117" t="n"/>
      <c r="J378" s="123" t="str">
        <f>IF(B378="","",IF(F378&lt;&gt;"",N(F378),ROUND(N(D378)*N(E378),2)))</f>
        <v/>
      </c>
      <c r="K378" s="123" t="str">
        <f>IF(B378="","",IF(H378&lt;&gt;"",N(H378),IF(B378="Dividendo",ROUND(J378*IFERROR(INDEX(Calcoli!$V$7:$V$21,MATCH(C378,Calcoli!$A$7:$A$21,0)),0.26),2),IF(B378="Vendita",ROUND(MAX(0,U378)*IFERROR(INDEX(Calcoli!$V$7:$V$21,MATCH(C378,Calcoli!$A$7:$A$21,0)),0.26),2),0))))</f>
        <v/>
      </c>
      <c r="L378" s="135" t="str">
        <f>IF(B378="","",IF(B378="Acquisto",-(J378+N(G378)),J378-N(G378)-K378))</f>
        <v/>
      </c>
      <c r="M378" s="127" t="str">
        <f>IF(B378="","",IF(ISNA(MATCH(C378,ETF!$A$7:$A$21,0)),"ETF?",IF(NOT(ISNUMBER(A378)),"Data?",IF(AND(B378&lt;&gt;"Dividendo",N(D378)&lt;=0),"Quote?",IF(AND(B378="Vendita",N(D378)&gt;N(Q378)+0.000001),"Quote?",IF(J378&lt;=0,"Importo?","✓"))))))</f>
        <v/>
      </c>
      <c r="N378" t="str">
        <f>IF(OR(B378="Acquisto",B378="Vendita"),COUNTIFS($C$5:C378,C378,$B$5:B378,"Acquisto")+COUNTIFS($C$5:C378,C378,$B$5:B378,"Vendita"),"")</f>
        <v/>
      </c>
      <c r="O378" t="str">
        <f>IF(N378="","",C378&amp;"|"&amp;N378)</f>
        <v/>
      </c>
      <c r="P378" t="str">
        <f>IF(N378="","",IF(N378=1,0,MATCH(C378&amp;"|"&amp;(N378-1),$O$5:$O$1004,0)))</f>
        <v/>
      </c>
      <c r="Q378" t="str">
        <f>IF(N378="","",IF(P378=0,SUMIFS(Calcoli!$C$7:$C$21,Calcoli!$A$7:$A$21,C378),INDEX($S$5:$S$1004,P378)))</f>
        <v/>
      </c>
      <c r="R378" t="str">
        <f>IF(N378="","",IF(P378=0,SUMIFS(Calcoli!$D$7:$D$21,Calcoli!$A$7:$A$21,C378),INDEX($T$5:$T$1004,P378)))</f>
        <v/>
      </c>
      <c r="S378" t="str">
        <f>IF(N378="","",IF(B378="Acquisto",Q378+N(D378),MAX(0,Q378-N(D378))))</f>
        <v/>
      </c>
      <c r="T378" t="str">
        <f>IF(N378="","",IF(B378="Acquisto",R378+J378+N(G378),IF(Q378&lt;=0,0,R378*(1-MIN(1,N(D378)/Q378)))))</f>
        <v/>
      </c>
      <c r="U378" t="str">
        <f>IF(B378&lt;&gt;"Vendita","",J378-N(G378)-IF(Q378&lt;=0,0,R378*MIN(1,N(D378)/Q378)))</f>
        <v/>
      </c>
      <c r="V378" t="str">
        <f>IF(B378&lt;&gt;"Dividendo","",IF(Calcoli!$B$251=1,J378,L378))</f>
        <v/>
      </c>
      <c r="W378" t="str">
        <f>IF(AND(V378&lt;&gt;"",ISNUMBER(A378)),A378,"")</f>
        <v/>
      </c>
    </row>
    <row r="379">
      <c r="A379" s="134" t="n"/>
      <c r="B379" s="116" t="n"/>
      <c r="C379" s="116" t="n"/>
      <c r="D379" s="121" t="n"/>
      <c r="E379" s="120" t="n"/>
      <c r="F379" s="120" t="n"/>
      <c r="G379" s="120" t="n"/>
      <c r="H379" s="120" t="n"/>
      <c r="I379" s="117" t="n"/>
      <c r="J379" s="123" t="str">
        <f>IF(B379="","",IF(F379&lt;&gt;"",N(F379),ROUND(N(D379)*N(E379),2)))</f>
        <v/>
      </c>
      <c r="K379" s="123" t="str">
        <f>IF(B379="","",IF(H379&lt;&gt;"",N(H379),IF(B379="Dividendo",ROUND(J379*IFERROR(INDEX(Calcoli!$V$7:$V$21,MATCH(C379,Calcoli!$A$7:$A$21,0)),0.26),2),IF(B379="Vendita",ROUND(MAX(0,U379)*IFERROR(INDEX(Calcoli!$V$7:$V$21,MATCH(C379,Calcoli!$A$7:$A$21,0)),0.26),2),0))))</f>
        <v/>
      </c>
      <c r="L379" s="135" t="str">
        <f>IF(B379="","",IF(B379="Acquisto",-(J379+N(G379)),J379-N(G379)-K379))</f>
        <v/>
      </c>
      <c r="M379" s="127" t="str">
        <f>IF(B379="","",IF(ISNA(MATCH(C379,ETF!$A$7:$A$21,0)),"ETF?",IF(NOT(ISNUMBER(A379)),"Data?",IF(AND(B379&lt;&gt;"Dividendo",N(D379)&lt;=0),"Quote?",IF(AND(B379="Vendita",N(D379)&gt;N(Q379)+0.000001),"Quote?",IF(J379&lt;=0,"Importo?","✓"))))))</f>
        <v/>
      </c>
      <c r="N379" t="str">
        <f>IF(OR(B379="Acquisto",B379="Vendita"),COUNTIFS($C$5:C379,C379,$B$5:B379,"Acquisto")+COUNTIFS($C$5:C379,C379,$B$5:B379,"Vendita"),"")</f>
        <v/>
      </c>
      <c r="O379" t="str">
        <f>IF(N379="","",C379&amp;"|"&amp;N379)</f>
        <v/>
      </c>
      <c r="P379" t="str">
        <f>IF(N379="","",IF(N379=1,0,MATCH(C379&amp;"|"&amp;(N379-1),$O$5:$O$1004,0)))</f>
        <v/>
      </c>
      <c r="Q379" t="str">
        <f>IF(N379="","",IF(P379=0,SUMIFS(Calcoli!$C$7:$C$21,Calcoli!$A$7:$A$21,C379),INDEX($S$5:$S$1004,P379)))</f>
        <v/>
      </c>
      <c r="R379" t="str">
        <f>IF(N379="","",IF(P379=0,SUMIFS(Calcoli!$D$7:$D$21,Calcoli!$A$7:$A$21,C379),INDEX($T$5:$T$1004,P379)))</f>
        <v/>
      </c>
      <c r="S379" t="str">
        <f>IF(N379="","",IF(B379="Acquisto",Q379+N(D379),MAX(0,Q379-N(D379))))</f>
        <v/>
      </c>
      <c r="T379" t="str">
        <f>IF(N379="","",IF(B379="Acquisto",R379+J379+N(G379),IF(Q379&lt;=0,0,R379*(1-MIN(1,N(D379)/Q379)))))</f>
        <v/>
      </c>
      <c r="U379" t="str">
        <f>IF(B379&lt;&gt;"Vendita","",J379-N(G379)-IF(Q379&lt;=0,0,R379*MIN(1,N(D379)/Q379)))</f>
        <v/>
      </c>
      <c r="V379" t="str">
        <f>IF(B379&lt;&gt;"Dividendo","",IF(Calcoli!$B$251=1,J379,L379))</f>
        <v/>
      </c>
      <c r="W379" t="str">
        <f>IF(AND(V379&lt;&gt;"",ISNUMBER(A379)),A379,"")</f>
        <v/>
      </c>
    </row>
    <row r="380">
      <c r="A380" s="134" t="n"/>
      <c r="B380" s="116" t="n"/>
      <c r="C380" s="116" t="n"/>
      <c r="D380" s="121" t="n"/>
      <c r="E380" s="120" t="n"/>
      <c r="F380" s="120" t="n"/>
      <c r="G380" s="120" t="n"/>
      <c r="H380" s="120" t="n"/>
      <c r="I380" s="117" t="n"/>
      <c r="J380" s="123" t="str">
        <f>IF(B380="","",IF(F380&lt;&gt;"",N(F380),ROUND(N(D380)*N(E380),2)))</f>
        <v/>
      </c>
      <c r="K380" s="123" t="str">
        <f>IF(B380="","",IF(H380&lt;&gt;"",N(H380),IF(B380="Dividendo",ROUND(J380*IFERROR(INDEX(Calcoli!$V$7:$V$21,MATCH(C380,Calcoli!$A$7:$A$21,0)),0.26),2),IF(B380="Vendita",ROUND(MAX(0,U380)*IFERROR(INDEX(Calcoli!$V$7:$V$21,MATCH(C380,Calcoli!$A$7:$A$21,0)),0.26),2),0))))</f>
        <v/>
      </c>
      <c r="L380" s="135" t="str">
        <f>IF(B380="","",IF(B380="Acquisto",-(J380+N(G380)),J380-N(G380)-K380))</f>
        <v/>
      </c>
      <c r="M380" s="127" t="str">
        <f>IF(B380="","",IF(ISNA(MATCH(C380,ETF!$A$7:$A$21,0)),"ETF?",IF(NOT(ISNUMBER(A380)),"Data?",IF(AND(B380&lt;&gt;"Dividendo",N(D380)&lt;=0),"Quote?",IF(AND(B380="Vendita",N(D380)&gt;N(Q380)+0.000001),"Quote?",IF(J380&lt;=0,"Importo?","✓"))))))</f>
        <v/>
      </c>
      <c r="N380" t="str">
        <f>IF(OR(B380="Acquisto",B380="Vendita"),COUNTIFS($C$5:C380,C380,$B$5:B380,"Acquisto")+COUNTIFS($C$5:C380,C380,$B$5:B380,"Vendita"),"")</f>
        <v/>
      </c>
      <c r="O380" t="str">
        <f>IF(N380="","",C380&amp;"|"&amp;N380)</f>
        <v/>
      </c>
      <c r="P380" t="str">
        <f>IF(N380="","",IF(N380=1,0,MATCH(C380&amp;"|"&amp;(N380-1),$O$5:$O$1004,0)))</f>
        <v/>
      </c>
      <c r="Q380" t="str">
        <f>IF(N380="","",IF(P380=0,SUMIFS(Calcoli!$C$7:$C$21,Calcoli!$A$7:$A$21,C380),INDEX($S$5:$S$1004,P380)))</f>
        <v/>
      </c>
      <c r="R380" t="str">
        <f>IF(N380="","",IF(P380=0,SUMIFS(Calcoli!$D$7:$D$21,Calcoli!$A$7:$A$21,C380),INDEX($T$5:$T$1004,P380)))</f>
        <v/>
      </c>
      <c r="S380" t="str">
        <f>IF(N380="","",IF(B380="Acquisto",Q380+N(D380),MAX(0,Q380-N(D380))))</f>
        <v/>
      </c>
      <c r="T380" t="str">
        <f>IF(N380="","",IF(B380="Acquisto",R380+J380+N(G380),IF(Q380&lt;=0,0,R380*(1-MIN(1,N(D380)/Q380)))))</f>
        <v/>
      </c>
      <c r="U380" t="str">
        <f>IF(B380&lt;&gt;"Vendita","",J380-N(G380)-IF(Q380&lt;=0,0,R380*MIN(1,N(D380)/Q380)))</f>
        <v/>
      </c>
      <c r="V380" t="str">
        <f>IF(B380&lt;&gt;"Dividendo","",IF(Calcoli!$B$251=1,J380,L380))</f>
        <v/>
      </c>
      <c r="W380" t="str">
        <f>IF(AND(V380&lt;&gt;"",ISNUMBER(A380)),A380,"")</f>
        <v/>
      </c>
    </row>
    <row r="381">
      <c r="A381" s="134" t="n"/>
      <c r="B381" s="116" t="n"/>
      <c r="C381" s="116" t="n"/>
      <c r="D381" s="121" t="n"/>
      <c r="E381" s="120" t="n"/>
      <c r="F381" s="120" t="n"/>
      <c r="G381" s="120" t="n"/>
      <c r="H381" s="120" t="n"/>
      <c r="I381" s="117" t="n"/>
      <c r="J381" s="123" t="str">
        <f>IF(B381="","",IF(F381&lt;&gt;"",N(F381),ROUND(N(D381)*N(E381),2)))</f>
        <v/>
      </c>
      <c r="K381" s="123" t="str">
        <f>IF(B381="","",IF(H381&lt;&gt;"",N(H381),IF(B381="Dividendo",ROUND(J381*IFERROR(INDEX(Calcoli!$V$7:$V$21,MATCH(C381,Calcoli!$A$7:$A$21,0)),0.26),2),IF(B381="Vendita",ROUND(MAX(0,U381)*IFERROR(INDEX(Calcoli!$V$7:$V$21,MATCH(C381,Calcoli!$A$7:$A$21,0)),0.26),2),0))))</f>
        <v/>
      </c>
      <c r="L381" s="135" t="str">
        <f>IF(B381="","",IF(B381="Acquisto",-(J381+N(G381)),J381-N(G381)-K381))</f>
        <v/>
      </c>
      <c r="M381" s="127" t="str">
        <f>IF(B381="","",IF(ISNA(MATCH(C381,ETF!$A$7:$A$21,0)),"ETF?",IF(NOT(ISNUMBER(A381)),"Data?",IF(AND(B381&lt;&gt;"Dividendo",N(D381)&lt;=0),"Quote?",IF(AND(B381="Vendita",N(D381)&gt;N(Q381)+0.000001),"Quote?",IF(J381&lt;=0,"Importo?","✓"))))))</f>
        <v/>
      </c>
      <c r="N381" t="str">
        <f>IF(OR(B381="Acquisto",B381="Vendita"),COUNTIFS($C$5:C381,C381,$B$5:B381,"Acquisto")+COUNTIFS($C$5:C381,C381,$B$5:B381,"Vendita"),"")</f>
        <v/>
      </c>
      <c r="O381" t="str">
        <f>IF(N381="","",C381&amp;"|"&amp;N381)</f>
        <v/>
      </c>
      <c r="P381" t="str">
        <f>IF(N381="","",IF(N381=1,0,MATCH(C381&amp;"|"&amp;(N381-1),$O$5:$O$1004,0)))</f>
        <v/>
      </c>
      <c r="Q381" t="str">
        <f>IF(N381="","",IF(P381=0,SUMIFS(Calcoli!$C$7:$C$21,Calcoli!$A$7:$A$21,C381),INDEX($S$5:$S$1004,P381)))</f>
        <v/>
      </c>
      <c r="R381" t="str">
        <f>IF(N381="","",IF(P381=0,SUMIFS(Calcoli!$D$7:$D$21,Calcoli!$A$7:$A$21,C381),INDEX($T$5:$T$1004,P381)))</f>
        <v/>
      </c>
      <c r="S381" t="str">
        <f>IF(N381="","",IF(B381="Acquisto",Q381+N(D381),MAX(0,Q381-N(D381))))</f>
        <v/>
      </c>
      <c r="T381" t="str">
        <f>IF(N381="","",IF(B381="Acquisto",R381+J381+N(G381),IF(Q381&lt;=0,0,R381*(1-MIN(1,N(D381)/Q381)))))</f>
        <v/>
      </c>
      <c r="U381" t="str">
        <f>IF(B381&lt;&gt;"Vendita","",J381-N(G381)-IF(Q381&lt;=0,0,R381*MIN(1,N(D381)/Q381)))</f>
        <v/>
      </c>
      <c r="V381" t="str">
        <f>IF(B381&lt;&gt;"Dividendo","",IF(Calcoli!$B$251=1,J381,L381))</f>
        <v/>
      </c>
      <c r="W381" t="str">
        <f>IF(AND(V381&lt;&gt;"",ISNUMBER(A381)),A381,"")</f>
        <v/>
      </c>
    </row>
    <row r="382">
      <c r="A382" s="134" t="n"/>
      <c r="B382" s="116" t="n"/>
      <c r="C382" s="116" t="n"/>
      <c r="D382" s="121" t="n"/>
      <c r="E382" s="120" t="n"/>
      <c r="F382" s="120" t="n"/>
      <c r="G382" s="120" t="n"/>
      <c r="H382" s="120" t="n"/>
      <c r="I382" s="117" t="n"/>
      <c r="J382" s="123" t="str">
        <f>IF(B382="","",IF(F382&lt;&gt;"",N(F382),ROUND(N(D382)*N(E382),2)))</f>
        <v/>
      </c>
      <c r="K382" s="123" t="str">
        <f>IF(B382="","",IF(H382&lt;&gt;"",N(H382),IF(B382="Dividendo",ROUND(J382*IFERROR(INDEX(Calcoli!$V$7:$V$21,MATCH(C382,Calcoli!$A$7:$A$21,0)),0.26),2),IF(B382="Vendita",ROUND(MAX(0,U382)*IFERROR(INDEX(Calcoli!$V$7:$V$21,MATCH(C382,Calcoli!$A$7:$A$21,0)),0.26),2),0))))</f>
        <v/>
      </c>
      <c r="L382" s="135" t="str">
        <f>IF(B382="","",IF(B382="Acquisto",-(J382+N(G382)),J382-N(G382)-K382))</f>
        <v/>
      </c>
      <c r="M382" s="127" t="str">
        <f>IF(B382="","",IF(ISNA(MATCH(C382,ETF!$A$7:$A$21,0)),"ETF?",IF(NOT(ISNUMBER(A382)),"Data?",IF(AND(B382&lt;&gt;"Dividendo",N(D382)&lt;=0),"Quote?",IF(AND(B382="Vendita",N(D382)&gt;N(Q382)+0.000001),"Quote?",IF(J382&lt;=0,"Importo?","✓"))))))</f>
        <v/>
      </c>
      <c r="N382" t="str">
        <f>IF(OR(B382="Acquisto",B382="Vendita"),COUNTIFS($C$5:C382,C382,$B$5:B382,"Acquisto")+COUNTIFS($C$5:C382,C382,$B$5:B382,"Vendita"),"")</f>
        <v/>
      </c>
      <c r="O382" t="str">
        <f>IF(N382="","",C382&amp;"|"&amp;N382)</f>
        <v/>
      </c>
      <c r="P382" t="str">
        <f>IF(N382="","",IF(N382=1,0,MATCH(C382&amp;"|"&amp;(N382-1),$O$5:$O$1004,0)))</f>
        <v/>
      </c>
      <c r="Q382" t="str">
        <f>IF(N382="","",IF(P382=0,SUMIFS(Calcoli!$C$7:$C$21,Calcoli!$A$7:$A$21,C382),INDEX($S$5:$S$1004,P382)))</f>
        <v/>
      </c>
      <c r="R382" t="str">
        <f>IF(N382="","",IF(P382=0,SUMIFS(Calcoli!$D$7:$D$21,Calcoli!$A$7:$A$21,C382),INDEX($T$5:$T$1004,P382)))</f>
        <v/>
      </c>
      <c r="S382" t="str">
        <f>IF(N382="","",IF(B382="Acquisto",Q382+N(D382),MAX(0,Q382-N(D382))))</f>
        <v/>
      </c>
      <c r="T382" t="str">
        <f>IF(N382="","",IF(B382="Acquisto",R382+J382+N(G382),IF(Q382&lt;=0,0,R382*(1-MIN(1,N(D382)/Q382)))))</f>
        <v/>
      </c>
      <c r="U382" t="str">
        <f>IF(B382&lt;&gt;"Vendita","",J382-N(G382)-IF(Q382&lt;=0,0,R382*MIN(1,N(D382)/Q382)))</f>
        <v/>
      </c>
      <c r="V382" t="str">
        <f>IF(B382&lt;&gt;"Dividendo","",IF(Calcoli!$B$251=1,J382,L382))</f>
        <v/>
      </c>
      <c r="W382" t="str">
        <f>IF(AND(V382&lt;&gt;"",ISNUMBER(A382)),A382,"")</f>
        <v/>
      </c>
    </row>
    <row r="383">
      <c r="A383" s="134" t="n"/>
      <c r="B383" s="116" t="n"/>
      <c r="C383" s="116" t="n"/>
      <c r="D383" s="121" t="n"/>
      <c r="E383" s="120" t="n"/>
      <c r="F383" s="120" t="n"/>
      <c r="G383" s="120" t="n"/>
      <c r="H383" s="120" t="n"/>
      <c r="I383" s="117" t="n"/>
      <c r="J383" s="123" t="str">
        <f>IF(B383="","",IF(F383&lt;&gt;"",N(F383),ROUND(N(D383)*N(E383),2)))</f>
        <v/>
      </c>
      <c r="K383" s="123" t="str">
        <f>IF(B383="","",IF(H383&lt;&gt;"",N(H383),IF(B383="Dividendo",ROUND(J383*IFERROR(INDEX(Calcoli!$V$7:$V$21,MATCH(C383,Calcoli!$A$7:$A$21,0)),0.26),2),IF(B383="Vendita",ROUND(MAX(0,U383)*IFERROR(INDEX(Calcoli!$V$7:$V$21,MATCH(C383,Calcoli!$A$7:$A$21,0)),0.26),2),0))))</f>
        <v/>
      </c>
      <c r="L383" s="135" t="str">
        <f>IF(B383="","",IF(B383="Acquisto",-(J383+N(G383)),J383-N(G383)-K383))</f>
        <v/>
      </c>
      <c r="M383" s="127" t="str">
        <f>IF(B383="","",IF(ISNA(MATCH(C383,ETF!$A$7:$A$21,0)),"ETF?",IF(NOT(ISNUMBER(A383)),"Data?",IF(AND(B383&lt;&gt;"Dividendo",N(D383)&lt;=0),"Quote?",IF(AND(B383="Vendita",N(D383)&gt;N(Q383)+0.000001),"Quote?",IF(J383&lt;=0,"Importo?","✓"))))))</f>
        <v/>
      </c>
      <c r="N383" t="str">
        <f>IF(OR(B383="Acquisto",B383="Vendita"),COUNTIFS($C$5:C383,C383,$B$5:B383,"Acquisto")+COUNTIFS($C$5:C383,C383,$B$5:B383,"Vendita"),"")</f>
        <v/>
      </c>
      <c r="O383" t="str">
        <f>IF(N383="","",C383&amp;"|"&amp;N383)</f>
        <v/>
      </c>
      <c r="P383" t="str">
        <f>IF(N383="","",IF(N383=1,0,MATCH(C383&amp;"|"&amp;(N383-1),$O$5:$O$1004,0)))</f>
        <v/>
      </c>
      <c r="Q383" t="str">
        <f>IF(N383="","",IF(P383=0,SUMIFS(Calcoli!$C$7:$C$21,Calcoli!$A$7:$A$21,C383),INDEX($S$5:$S$1004,P383)))</f>
        <v/>
      </c>
      <c r="R383" t="str">
        <f>IF(N383="","",IF(P383=0,SUMIFS(Calcoli!$D$7:$D$21,Calcoli!$A$7:$A$21,C383),INDEX($T$5:$T$1004,P383)))</f>
        <v/>
      </c>
      <c r="S383" t="str">
        <f>IF(N383="","",IF(B383="Acquisto",Q383+N(D383),MAX(0,Q383-N(D383))))</f>
        <v/>
      </c>
      <c r="T383" t="str">
        <f>IF(N383="","",IF(B383="Acquisto",R383+J383+N(G383),IF(Q383&lt;=0,0,R383*(1-MIN(1,N(D383)/Q383)))))</f>
        <v/>
      </c>
      <c r="U383" t="str">
        <f>IF(B383&lt;&gt;"Vendita","",J383-N(G383)-IF(Q383&lt;=0,0,R383*MIN(1,N(D383)/Q383)))</f>
        <v/>
      </c>
      <c r="V383" t="str">
        <f>IF(B383&lt;&gt;"Dividendo","",IF(Calcoli!$B$251=1,J383,L383))</f>
        <v/>
      </c>
      <c r="W383" t="str">
        <f>IF(AND(V383&lt;&gt;"",ISNUMBER(A383)),A383,"")</f>
        <v/>
      </c>
    </row>
    <row r="384">
      <c r="A384" s="134" t="n"/>
      <c r="B384" s="116" t="n"/>
      <c r="C384" s="116" t="n"/>
      <c r="D384" s="121" t="n"/>
      <c r="E384" s="120" t="n"/>
      <c r="F384" s="120" t="n"/>
      <c r="G384" s="120" t="n"/>
      <c r="H384" s="120" t="n"/>
      <c r="I384" s="117" t="n"/>
      <c r="J384" s="123" t="str">
        <f>IF(B384="","",IF(F384&lt;&gt;"",N(F384),ROUND(N(D384)*N(E384),2)))</f>
        <v/>
      </c>
      <c r="K384" s="123" t="str">
        <f>IF(B384="","",IF(H384&lt;&gt;"",N(H384),IF(B384="Dividendo",ROUND(J384*IFERROR(INDEX(Calcoli!$V$7:$V$21,MATCH(C384,Calcoli!$A$7:$A$21,0)),0.26),2),IF(B384="Vendita",ROUND(MAX(0,U384)*IFERROR(INDEX(Calcoli!$V$7:$V$21,MATCH(C384,Calcoli!$A$7:$A$21,0)),0.26),2),0))))</f>
        <v/>
      </c>
      <c r="L384" s="135" t="str">
        <f>IF(B384="","",IF(B384="Acquisto",-(J384+N(G384)),J384-N(G384)-K384))</f>
        <v/>
      </c>
      <c r="M384" s="127" t="str">
        <f>IF(B384="","",IF(ISNA(MATCH(C384,ETF!$A$7:$A$21,0)),"ETF?",IF(NOT(ISNUMBER(A384)),"Data?",IF(AND(B384&lt;&gt;"Dividendo",N(D384)&lt;=0),"Quote?",IF(AND(B384="Vendita",N(D384)&gt;N(Q384)+0.000001),"Quote?",IF(J384&lt;=0,"Importo?","✓"))))))</f>
        <v/>
      </c>
      <c r="N384" t="str">
        <f>IF(OR(B384="Acquisto",B384="Vendita"),COUNTIFS($C$5:C384,C384,$B$5:B384,"Acquisto")+COUNTIFS($C$5:C384,C384,$B$5:B384,"Vendita"),"")</f>
        <v/>
      </c>
      <c r="O384" t="str">
        <f>IF(N384="","",C384&amp;"|"&amp;N384)</f>
        <v/>
      </c>
      <c r="P384" t="str">
        <f>IF(N384="","",IF(N384=1,0,MATCH(C384&amp;"|"&amp;(N384-1),$O$5:$O$1004,0)))</f>
        <v/>
      </c>
      <c r="Q384" t="str">
        <f>IF(N384="","",IF(P384=0,SUMIFS(Calcoli!$C$7:$C$21,Calcoli!$A$7:$A$21,C384),INDEX($S$5:$S$1004,P384)))</f>
        <v/>
      </c>
      <c r="R384" t="str">
        <f>IF(N384="","",IF(P384=0,SUMIFS(Calcoli!$D$7:$D$21,Calcoli!$A$7:$A$21,C384),INDEX($T$5:$T$1004,P384)))</f>
        <v/>
      </c>
      <c r="S384" t="str">
        <f>IF(N384="","",IF(B384="Acquisto",Q384+N(D384),MAX(0,Q384-N(D384))))</f>
        <v/>
      </c>
      <c r="T384" t="str">
        <f>IF(N384="","",IF(B384="Acquisto",R384+J384+N(G384),IF(Q384&lt;=0,0,R384*(1-MIN(1,N(D384)/Q384)))))</f>
        <v/>
      </c>
      <c r="U384" t="str">
        <f>IF(B384&lt;&gt;"Vendita","",J384-N(G384)-IF(Q384&lt;=0,0,R384*MIN(1,N(D384)/Q384)))</f>
        <v/>
      </c>
      <c r="V384" t="str">
        <f>IF(B384&lt;&gt;"Dividendo","",IF(Calcoli!$B$251=1,J384,L384))</f>
        <v/>
      </c>
      <c r="W384" t="str">
        <f>IF(AND(V384&lt;&gt;"",ISNUMBER(A384)),A384,"")</f>
        <v/>
      </c>
    </row>
    <row r="385">
      <c r="A385" s="134" t="n"/>
      <c r="B385" s="116" t="n"/>
      <c r="C385" s="116" t="n"/>
      <c r="D385" s="121" t="n"/>
      <c r="E385" s="120" t="n"/>
      <c r="F385" s="120" t="n"/>
      <c r="G385" s="120" t="n"/>
      <c r="H385" s="120" t="n"/>
      <c r="I385" s="117" t="n"/>
      <c r="J385" s="123" t="str">
        <f>IF(B385="","",IF(F385&lt;&gt;"",N(F385),ROUND(N(D385)*N(E385),2)))</f>
        <v/>
      </c>
      <c r="K385" s="123" t="str">
        <f>IF(B385="","",IF(H385&lt;&gt;"",N(H385),IF(B385="Dividendo",ROUND(J385*IFERROR(INDEX(Calcoli!$V$7:$V$21,MATCH(C385,Calcoli!$A$7:$A$21,0)),0.26),2),IF(B385="Vendita",ROUND(MAX(0,U385)*IFERROR(INDEX(Calcoli!$V$7:$V$21,MATCH(C385,Calcoli!$A$7:$A$21,0)),0.26),2),0))))</f>
        <v/>
      </c>
      <c r="L385" s="135" t="str">
        <f>IF(B385="","",IF(B385="Acquisto",-(J385+N(G385)),J385-N(G385)-K385))</f>
        <v/>
      </c>
      <c r="M385" s="127" t="str">
        <f>IF(B385="","",IF(ISNA(MATCH(C385,ETF!$A$7:$A$21,0)),"ETF?",IF(NOT(ISNUMBER(A385)),"Data?",IF(AND(B385&lt;&gt;"Dividendo",N(D385)&lt;=0),"Quote?",IF(AND(B385="Vendita",N(D385)&gt;N(Q385)+0.000001),"Quote?",IF(J385&lt;=0,"Importo?","✓"))))))</f>
        <v/>
      </c>
      <c r="N385" t="str">
        <f>IF(OR(B385="Acquisto",B385="Vendita"),COUNTIFS($C$5:C385,C385,$B$5:B385,"Acquisto")+COUNTIFS($C$5:C385,C385,$B$5:B385,"Vendita"),"")</f>
        <v/>
      </c>
      <c r="O385" t="str">
        <f>IF(N385="","",C385&amp;"|"&amp;N385)</f>
        <v/>
      </c>
      <c r="P385" t="str">
        <f>IF(N385="","",IF(N385=1,0,MATCH(C385&amp;"|"&amp;(N385-1),$O$5:$O$1004,0)))</f>
        <v/>
      </c>
      <c r="Q385" t="str">
        <f>IF(N385="","",IF(P385=0,SUMIFS(Calcoli!$C$7:$C$21,Calcoli!$A$7:$A$21,C385),INDEX($S$5:$S$1004,P385)))</f>
        <v/>
      </c>
      <c r="R385" t="str">
        <f>IF(N385="","",IF(P385=0,SUMIFS(Calcoli!$D$7:$D$21,Calcoli!$A$7:$A$21,C385),INDEX($T$5:$T$1004,P385)))</f>
        <v/>
      </c>
      <c r="S385" t="str">
        <f>IF(N385="","",IF(B385="Acquisto",Q385+N(D385),MAX(0,Q385-N(D385))))</f>
        <v/>
      </c>
      <c r="T385" t="str">
        <f>IF(N385="","",IF(B385="Acquisto",R385+J385+N(G385),IF(Q385&lt;=0,0,R385*(1-MIN(1,N(D385)/Q385)))))</f>
        <v/>
      </c>
      <c r="U385" t="str">
        <f>IF(B385&lt;&gt;"Vendita","",J385-N(G385)-IF(Q385&lt;=0,0,R385*MIN(1,N(D385)/Q385)))</f>
        <v/>
      </c>
      <c r="V385" t="str">
        <f>IF(B385&lt;&gt;"Dividendo","",IF(Calcoli!$B$251=1,J385,L385))</f>
        <v/>
      </c>
      <c r="W385" t="str">
        <f>IF(AND(V385&lt;&gt;"",ISNUMBER(A385)),A385,"")</f>
        <v/>
      </c>
    </row>
    <row r="386">
      <c r="A386" s="134" t="n"/>
      <c r="B386" s="116" t="n"/>
      <c r="C386" s="116" t="n"/>
      <c r="D386" s="121" t="n"/>
      <c r="E386" s="120" t="n"/>
      <c r="F386" s="120" t="n"/>
      <c r="G386" s="120" t="n"/>
      <c r="H386" s="120" t="n"/>
      <c r="I386" s="117" t="n"/>
      <c r="J386" s="123" t="str">
        <f>IF(B386="","",IF(F386&lt;&gt;"",N(F386),ROUND(N(D386)*N(E386),2)))</f>
        <v/>
      </c>
      <c r="K386" s="123" t="str">
        <f>IF(B386="","",IF(H386&lt;&gt;"",N(H386),IF(B386="Dividendo",ROUND(J386*IFERROR(INDEX(Calcoli!$V$7:$V$21,MATCH(C386,Calcoli!$A$7:$A$21,0)),0.26),2),IF(B386="Vendita",ROUND(MAX(0,U386)*IFERROR(INDEX(Calcoli!$V$7:$V$21,MATCH(C386,Calcoli!$A$7:$A$21,0)),0.26),2),0))))</f>
        <v/>
      </c>
      <c r="L386" s="135" t="str">
        <f>IF(B386="","",IF(B386="Acquisto",-(J386+N(G386)),J386-N(G386)-K386))</f>
        <v/>
      </c>
      <c r="M386" s="127" t="str">
        <f>IF(B386="","",IF(ISNA(MATCH(C386,ETF!$A$7:$A$21,0)),"ETF?",IF(NOT(ISNUMBER(A386)),"Data?",IF(AND(B386&lt;&gt;"Dividendo",N(D386)&lt;=0),"Quote?",IF(AND(B386="Vendita",N(D386)&gt;N(Q386)+0.000001),"Quote?",IF(J386&lt;=0,"Importo?","✓"))))))</f>
        <v/>
      </c>
      <c r="N386" t="str">
        <f>IF(OR(B386="Acquisto",B386="Vendita"),COUNTIFS($C$5:C386,C386,$B$5:B386,"Acquisto")+COUNTIFS($C$5:C386,C386,$B$5:B386,"Vendita"),"")</f>
        <v/>
      </c>
      <c r="O386" t="str">
        <f>IF(N386="","",C386&amp;"|"&amp;N386)</f>
        <v/>
      </c>
      <c r="P386" t="str">
        <f>IF(N386="","",IF(N386=1,0,MATCH(C386&amp;"|"&amp;(N386-1),$O$5:$O$1004,0)))</f>
        <v/>
      </c>
      <c r="Q386" t="str">
        <f>IF(N386="","",IF(P386=0,SUMIFS(Calcoli!$C$7:$C$21,Calcoli!$A$7:$A$21,C386),INDEX($S$5:$S$1004,P386)))</f>
        <v/>
      </c>
      <c r="R386" t="str">
        <f>IF(N386="","",IF(P386=0,SUMIFS(Calcoli!$D$7:$D$21,Calcoli!$A$7:$A$21,C386),INDEX($T$5:$T$1004,P386)))</f>
        <v/>
      </c>
      <c r="S386" t="str">
        <f>IF(N386="","",IF(B386="Acquisto",Q386+N(D386),MAX(0,Q386-N(D386))))</f>
        <v/>
      </c>
      <c r="T386" t="str">
        <f>IF(N386="","",IF(B386="Acquisto",R386+J386+N(G386),IF(Q386&lt;=0,0,R386*(1-MIN(1,N(D386)/Q386)))))</f>
        <v/>
      </c>
      <c r="U386" t="str">
        <f>IF(B386&lt;&gt;"Vendita","",J386-N(G386)-IF(Q386&lt;=0,0,R386*MIN(1,N(D386)/Q386)))</f>
        <v/>
      </c>
      <c r="V386" t="str">
        <f>IF(B386&lt;&gt;"Dividendo","",IF(Calcoli!$B$251=1,J386,L386))</f>
        <v/>
      </c>
      <c r="W386" t="str">
        <f>IF(AND(V386&lt;&gt;"",ISNUMBER(A386)),A386,"")</f>
        <v/>
      </c>
    </row>
    <row r="387">
      <c r="A387" s="134" t="n"/>
      <c r="B387" s="116" t="n"/>
      <c r="C387" s="116" t="n"/>
      <c r="D387" s="121" t="n"/>
      <c r="E387" s="120" t="n"/>
      <c r="F387" s="120" t="n"/>
      <c r="G387" s="120" t="n"/>
      <c r="H387" s="120" t="n"/>
      <c r="I387" s="117" t="n"/>
      <c r="J387" s="123" t="str">
        <f>IF(B387="","",IF(F387&lt;&gt;"",N(F387),ROUND(N(D387)*N(E387),2)))</f>
        <v/>
      </c>
      <c r="K387" s="123" t="str">
        <f>IF(B387="","",IF(H387&lt;&gt;"",N(H387),IF(B387="Dividendo",ROUND(J387*IFERROR(INDEX(Calcoli!$V$7:$V$21,MATCH(C387,Calcoli!$A$7:$A$21,0)),0.26),2),IF(B387="Vendita",ROUND(MAX(0,U387)*IFERROR(INDEX(Calcoli!$V$7:$V$21,MATCH(C387,Calcoli!$A$7:$A$21,0)),0.26),2),0))))</f>
        <v/>
      </c>
      <c r="L387" s="135" t="str">
        <f>IF(B387="","",IF(B387="Acquisto",-(J387+N(G387)),J387-N(G387)-K387))</f>
        <v/>
      </c>
      <c r="M387" s="127" t="str">
        <f>IF(B387="","",IF(ISNA(MATCH(C387,ETF!$A$7:$A$21,0)),"ETF?",IF(NOT(ISNUMBER(A387)),"Data?",IF(AND(B387&lt;&gt;"Dividendo",N(D387)&lt;=0),"Quote?",IF(AND(B387="Vendita",N(D387)&gt;N(Q387)+0.000001),"Quote?",IF(J387&lt;=0,"Importo?","✓"))))))</f>
        <v/>
      </c>
      <c r="N387" t="str">
        <f>IF(OR(B387="Acquisto",B387="Vendita"),COUNTIFS($C$5:C387,C387,$B$5:B387,"Acquisto")+COUNTIFS($C$5:C387,C387,$B$5:B387,"Vendita"),"")</f>
        <v/>
      </c>
      <c r="O387" t="str">
        <f>IF(N387="","",C387&amp;"|"&amp;N387)</f>
        <v/>
      </c>
      <c r="P387" t="str">
        <f>IF(N387="","",IF(N387=1,0,MATCH(C387&amp;"|"&amp;(N387-1),$O$5:$O$1004,0)))</f>
        <v/>
      </c>
      <c r="Q387" t="str">
        <f>IF(N387="","",IF(P387=0,SUMIFS(Calcoli!$C$7:$C$21,Calcoli!$A$7:$A$21,C387),INDEX($S$5:$S$1004,P387)))</f>
        <v/>
      </c>
      <c r="R387" t="str">
        <f>IF(N387="","",IF(P387=0,SUMIFS(Calcoli!$D$7:$D$21,Calcoli!$A$7:$A$21,C387),INDEX($T$5:$T$1004,P387)))</f>
        <v/>
      </c>
      <c r="S387" t="str">
        <f>IF(N387="","",IF(B387="Acquisto",Q387+N(D387),MAX(0,Q387-N(D387))))</f>
        <v/>
      </c>
      <c r="T387" t="str">
        <f>IF(N387="","",IF(B387="Acquisto",R387+J387+N(G387),IF(Q387&lt;=0,0,R387*(1-MIN(1,N(D387)/Q387)))))</f>
        <v/>
      </c>
      <c r="U387" t="str">
        <f>IF(B387&lt;&gt;"Vendita","",J387-N(G387)-IF(Q387&lt;=0,0,R387*MIN(1,N(D387)/Q387)))</f>
        <v/>
      </c>
      <c r="V387" t="str">
        <f>IF(B387&lt;&gt;"Dividendo","",IF(Calcoli!$B$251=1,J387,L387))</f>
        <v/>
      </c>
      <c r="W387" t="str">
        <f>IF(AND(V387&lt;&gt;"",ISNUMBER(A387)),A387,"")</f>
        <v/>
      </c>
    </row>
    <row r="388">
      <c r="A388" s="134" t="n"/>
      <c r="B388" s="116" t="n"/>
      <c r="C388" s="116" t="n"/>
      <c r="D388" s="121" t="n"/>
      <c r="E388" s="120" t="n"/>
      <c r="F388" s="120" t="n"/>
      <c r="G388" s="120" t="n"/>
      <c r="H388" s="120" t="n"/>
      <c r="I388" s="117" t="n"/>
      <c r="J388" s="123" t="str">
        <f>IF(B388="","",IF(F388&lt;&gt;"",N(F388),ROUND(N(D388)*N(E388),2)))</f>
        <v/>
      </c>
      <c r="K388" s="123" t="str">
        <f>IF(B388="","",IF(H388&lt;&gt;"",N(H388),IF(B388="Dividendo",ROUND(J388*IFERROR(INDEX(Calcoli!$V$7:$V$21,MATCH(C388,Calcoli!$A$7:$A$21,0)),0.26),2),IF(B388="Vendita",ROUND(MAX(0,U388)*IFERROR(INDEX(Calcoli!$V$7:$V$21,MATCH(C388,Calcoli!$A$7:$A$21,0)),0.26),2),0))))</f>
        <v/>
      </c>
      <c r="L388" s="135" t="str">
        <f>IF(B388="","",IF(B388="Acquisto",-(J388+N(G388)),J388-N(G388)-K388))</f>
        <v/>
      </c>
      <c r="M388" s="127" t="str">
        <f>IF(B388="","",IF(ISNA(MATCH(C388,ETF!$A$7:$A$21,0)),"ETF?",IF(NOT(ISNUMBER(A388)),"Data?",IF(AND(B388&lt;&gt;"Dividendo",N(D388)&lt;=0),"Quote?",IF(AND(B388="Vendita",N(D388)&gt;N(Q388)+0.000001),"Quote?",IF(J388&lt;=0,"Importo?","✓"))))))</f>
        <v/>
      </c>
      <c r="N388" t="str">
        <f>IF(OR(B388="Acquisto",B388="Vendita"),COUNTIFS($C$5:C388,C388,$B$5:B388,"Acquisto")+COUNTIFS($C$5:C388,C388,$B$5:B388,"Vendita"),"")</f>
        <v/>
      </c>
      <c r="O388" t="str">
        <f>IF(N388="","",C388&amp;"|"&amp;N388)</f>
        <v/>
      </c>
      <c r="P388" t="str">
        <f>IF(N388="","",IF(N388=1,0,MATCH(C388&amp;"|"&amp;(N388-1),$O$5:$O$1004,0)))</f>
        <v/>
      </c>
      <c r="Q388" t="str">
        <f>IF(N388="","",IF(P388=0,SUMIFS(Calcoli!$C$7:$C$21,Calcoli!$A$7:$A$21,C388),INDEX($S$5:$S$1004,P388)))</f>
        <v/>
      </c>
      <c r="R388" t="str">
        <f>IF(N388="","",IF(P388=0,SUMIFS(Calcoli!$D$7:$D$21,Calcoli!$A$7:$A$21,C388),INDEX($T$5:$T$1004,P388)))</f>
        <v/>
      </c>
      <c r="S388" t="str">
        <f>IF(N388="","",IF(B388="Acquisto",Q388+N(D388),MAX(0,Q388-N(D388))))</f>
        <v/>
      </c>
      <c r="T388" t="str">
        <f>IF(N388="","",IF(B388="Acquisto",R388+J388+N(G388),IF(Q388&lt;=0,0,R388*(1-MIN(1,N(D388)/Q388)))))</f>
        <v/>
      </c>
      <c r="U388" t="str">
        <f>IF(B388&lt;&gt;"Vendita","",J388-N(G388)-IF(Q388&lt;=0,0,R388*MIN(1,N(D388)/Q388)))</f>
        <v/>
      </c>
      <c r="V388" t="str">
        <f>IF(B388&lt;&gt;"Dividendo","",IF(Calcoli!$B$251=1,J388,L388))</f>
        <v/>
      </c>
      <c r="W388" t="str">
        <f>IF(AND(V388&lt;&gt;"",ISNUMBER(A388)),A388,"")</f>
        <v/>
      </c>
    </row>
    <row r="389">
      <c r="A389" s="134" t="n"/>
      <c r="B389" s="116" t="n"/>
      <c r="C389" s="116" t="n"/>
      <c r="D389" s="121" t="n"/>
      <c r="E389" s="120" t="n"/>
      <c r="F389" s="120" t="n"/>
      <c r="G389" s="120" t="n"/>
      <c r="H389" s="120" t="n"/>
      <c r="I389" s="117" t="n"/>
      <c r="J389" s="123" t="str">
        <f>IF(B389="","",IF(F389&lt;&gt;"",N(F389),ROUND(N(D389)*N(E389),2)))</f>
        <v/>
      </c>
      <c r="K389" s="123" t="str">
        <f>IF(B389="","",IF(H389&lt;&gt;"",N(H389),IF(B389="Dividendo",ROUND(J389*IFERROR(INDEX(Calcoli!$V$7:$V$21,MATCH(C389,Calcoli!$A$7:$A$21,0)),0.26),2),IF(B389="Vendita",ROUND(MAX(0,U389)*IFERROR(INDEX(Calcoli!$V$7:$V$21,MATCH(C389,Calcoli!$A$7:$A$21,0)),0.26),2),0))))</f>
        <v/>
      </c>
      <c r="L389" s="135" t="str">
        <f>IF(B389="","",IF(B389="Acquisto",-(J389+N(G389)),J389-N(G389)-K389))</f>
        <v/>
      </c>
      <c r="M389" s="127" t="str">
        <f>IF(B389="","",IF(ISNA(MATCH(C389,ETF!$A$7:$A$21,0)),"ETF?",IF(NOT(ISNUMBER(A389)),"Data?",IF(AND(B389&lt;&gt;"Dividendo",N(D389)&lt;=0),"Quote?",IF(AND(B389="Vendita",N(D389)&gt;N(Q389)+0.000001),"Quote?",IF(J389&lt;=0,"Importo?","✓"))))))</f>
        <v/>
      </c>
      <c r="N389" t="str">
        <f>IF(OR(B389="Acquisto",B389="Vendita"),COUNTIFS($C$5:C389,C389,$B$5:B389,"Acquisto")+COUNTIFS($C$5:C389,C389,$B$5:B389,"Vendita"),"")</f>
        <v/>
      </c>
      <c r="O389" t="str">
        <f>IF(N389="","",C389&amp;"|"&amp;N389)</f>
        <v/>
      </c>
      <c r="P389" t="str">
        <f>IF(N389="","",IF(N389=1,0,MATCH(C389&amp;"|"&amp;(N389-1),$O$5:$O$1004,0)))</f>
        <v/>
      </c>
      <c r="Q389" t="str">
        <f>IF(N389="","",IF(P389=0,SUMIFS(Calcoli!$C$7:$C$21,Calcoli!$A$7:$A$21,C389),INDEX($S$5:$S$1004,P389)))</f>
        <v/>
      </c>
      <c r="R389" t="str">
        <f>IF(N389="","",IF(P389=0,SUMIFS(Calcoli!$D$7:$D$21,Calcoli!$A$7:$A$21,C389),INDEX($T$5:$T$1004,P389)))</f>
        <v/>
      </c>
      <c r="S389" t="str">
        <f>IF(N389="","",IF(B389="Acquisto",Q389+N(D389),MAX(0,Q389-N(D389))))</f>
        <v/>
      </c>
      <c r="T389" t="str">
        <f>IF(N389="","",IF(B389="Acquisto",R389+J389+N(G389),IF(Q389&lt;=0,0,R389*(1-MIN(1,N(D389)/Q389)))))</f>
        <v/>
      </c>
      <c r="U389" t="str">
        <f>IF(B389&lt;&gt;"Vendita","",J389-N(G389)-IF(Q389&lt;=0,0,R389*MIN(1,N(D389)/Q389)))</f>
        <v/>
      </c>
      <c r="V389" t="str">
        <f>IF(B389&lt;&gt;"Dividendo","",IF(Calcoli!$B$251=1,J389,L389))</f>
        <v/>
      </c>
      <c r="W389" t="str">
        <f>IF(AND(V389&lt;&gt;"",ISNUMBER(A389)),A389,"")</f>
        <v/>
      </c>
    </row>
    <row r="390">
      <c r="A390" s="134" t="n"/>
      <c r="B390" s="116" t="n"/>
      <c r="C390" s="116" t="n"/>
      <c r="D390" s="121" t="n"/>
      <c r="E390" s="120" t="n"/>
      <c r="F390" s="120" t="n"/>
      <c r="G390" s="120" t="n"/>
      <c r="H390" s="120" t="n"/>
      <c r="I390" s="117" t="n"/>
      <c r="J390" s="123" t="str">
        <f>IF(B390="","",IF(F390&lt;&gt;"",N(F390),ROUND(N(D390)*N(E390),2)))</f>
        <v/>
      </c>
      <c r="K390" s="123" t="str">
        <f>IF(B390="","",IF(H390&lt;&gt;"",N(H390),IF(B390="Dividendo",ROUND(J390*IFERROR(INDEX(Calcoli!$V$7:$V$21,MATCH(C390,Calcoli!$A$7:$A$21,0)),0.26),2),IF(B390="Vendita",ROUND(MAX(0,U390)*IFERROR(INDEX(Calcoli!$V$7:$V$21,MATCH(C390,Calcoli!$A$7:$A$21,0)),0.26),2),0))))</f>
        <v/>
      </c>
      <c r="L390" s="135" t="str">
        <f>IF(B390="","",IF(B390="Acquisto",-(J390+N(G390)),J390-N(G390)-K390))</f>
        <v/>
      </c>
      <c r="M390" s="127" t="str">
        <f>IF(B390="","",IF(ISNA(MATCH(C390,ETF!$A$7:$A$21,0)),"ETF?",IF(NOT(ISNUMBER(A390)),"Data?",IF(AND(B390&lt;&gt;"Dividendo",N(D390)&lt;=0),"Quote?",IF(AND(B390="Vendita",N(D390)&gt;N(Q390)+0.000001),"Quote?",IF(J390&lt;=0,"Importo?","✓"))))))</f>
        <v/>
      </c>
      <c r="N390" t="str">
        <f>IF(OR(B390="Acquisto",B390="Vendita"),COUNTIFS($C$5:C390,C390,$B$5:B390,"Acquisto")+COUNTIFS($C$5:C390,C390,$B$5:B390,"Vendita"),"")</f>
        <v/>
      </c>
      <c r="O390" t="str">
        <f>IF(N390="","",C390&amp;"|"&amp;N390)</f>
        <v/>
      </c>
      <c r="P390" t="str">
        <f>IF(N390="","",IF(N390=1,0,MATCH(C390&amp;"|"&amp;(N390-1),$O$5:$O$1004,0)))</f>
        <v/>
      </c>
      <c r="Q390" t="str">
        <f>IF(N390="","",IF(P390=0,SUMIFS(Calcoli!$C$7:$C$21,Calcoli!$A$7:$A$21,C390),INDEX($S$5:$S$1004,P390)))</f>
        <v/>
      </c>
      <c r="R390" t="str">
        <f>IF(N390="","",IF(P390=0,SUMIFS(Calcoli!$D$7:$D$21,Calcoli!$A$7:$A$21,C390),INDEX($T$5:$T$1004,P390)))</f>
        <v/>
      </c>
      <c r="S390" t="str">
        <f>IF(N390="","",IF(B390="Acquisto",Q390+N(D390),MAX(0,Q390-N(D390))))</f>
        <v/>
      </c>
      <c r="T390" t="str">
        <f>IF(N390="","",IF(B390="Acquisto",R390+J390+N(G390),IF(Q390&lt;=0,0,R390*(1-MIN(1,N(D390)/Q390)))))</f>
        <v/>
      </c>
      <c r="U390" t="str">
        <f>IF(B390&lt;&gt;"Vendita","",J390-N(G390)-IF(Q390&lt;=0,0,R390*MIN(1,N(D390)/Q390)))</f>
        <v/>
      </c>
      <c r="V390" t="str">
        <f>IF(B390&lt;&gt;"Dividendo","",IF(Calcoli!$B$251=1,J390,L390))</f>
        <v/>
      </c>
      <c r="W390" t="str">
        <f>IF(AND(V390&lt;&gt;"",ISNUMBER(A390)),A390,"")</f>
        <v/>
      </c>
    </row>
    <row r="391">
      <c r="A391" s="134" t="n"/>
      <c r="B391" s="116" t="n"/>
      <c r="C391" s="116" t="n"/>
      <c r="D391" s="121" t="n"/>
      <c r="E391" s="120" t="n"/>
      <c r="F391" s="120" t="n"/>
      <c r="G391" s="120" t="n"/>
      <c r="H391" s="120" t="n"/>
      <c r="I391" s="117" t="n"/>
      <c r="J391" s="123" t="str">
        <f>IF(B391="","",IF(F391&lt;&gt;"",N(F391),ROUND(N(D391)*N(E391),2)))</f>
        <v/>
      </c>
      <c r="K391" s="123" t="str">
        <f>IF(B391="","",IF(H391&lt;&gt;"",N(H391),IF(B391="Dividendo",ROUND(J391*IFERROR(INDEX(Calcoli!$V$7:$V$21,MATCH(C391,Calcoli!$A$7:$A$21,0)),0.26),2),IF(B391="Vendita",ROUND(MAX(0,U391)*IFERROR(INDEX(Calcoli!$V$7:$V$21,MATCH(C391,Calcoli!$A$7:$A$21,0)),0.26),2),0))))</f>
        <v/>
      </c>
      <c r="L391" s="135" t="str">
        <f>IF(B391="","",IF(B391="Acquisto",-(J391+N(G391)),J391-N(G391)-K391))</f>
        <v/>
      </c>
      <c r="M391" s="127" t="str">
        <f>IF(B391="","",IF(ISNA(MATCH(C391,ETF!$A$7:$A$21,0)),"ETF?",IF(NOT(ISNUMBER(A391)),"Data?",IF(AND(B391&lt;&gt;"Dividendo",N(D391)&lt;=0),"Quote?",IF(AND(B391="Vendita",N(D391)&gt;N(Q391)+0.000001),"Quote?",IF(J391&lt;=0,"Importo?","✓"))))))</f>
        <v/>
      </c>
      <c r="N391" t="str">
        <f>IF(OR(B391="Acquisto",B391="Vendita"),COUNTIFS($C$5:C391,C391,$B$5:B391,"Acquisto")+COUNTIFS($C$5:C391,C391,$B$5:B391,"Vendita"),"")</f>
        <v/>
      </c>
      <c r="O391" t="str">
        <f>IF(N391="","",C391&amp;"|"&amp;N391)</f>
        <v/>
      </c>
      <c r="P391" t="str">
        <f>IF(N391="","",IF(N391=1,0,MATCH(C391&amp;"|"&amp;(N391-1),$O$5:$O$1004,0)))</f>
        <v/>
      </c>
      <c r="Q391" t="str">
        <f>IF(N391="","",IF(P391=0,SUMIFS(Calcoli!$C$7:$C$21,Calcoli!$A$7:$A$21,C391),INDEX($S$5:$S$1004,P391)))</f>
        <v/>
      </c>
      <c r="R391" t="str">
        <f>IF(N391="","",IF(P391=0,SUMIFS(Calcoli!$D$7:$D$21,Calcoli!$A$7:$A$21,C391),INDEX($T$5:$T$1004,P391)))</f>
        <v/>
      </c>
      <c r="S391" t="str">
        <f>IF(N391="","",IF(B391="Acquisto",Q391+N(D391),MAX(0,Q391-N(D391))))</f>
        <v/>
      </c>
      <c r="T391" t="str">
        <f>IF(N391="","",IF(B391="Acquisto",R391+J391+N(G391),IF(Q391&lt;=0,0,R391*(1-MIN(1,N(D391)/Q391)))))</f>
        <v/>
      </c>
      <c r="U391" t="str">
        <f>IF(B391&lt;&gt;"Vendita","",J391-N(G391)-IF(Q391&lt;=0,0,R391*MIN(1,N(D391)/Q391)))</f>
        <v/>
      </c>
      <c r="V391" t="str">
        <f>IF(B391&lt;&gt;"Dividendo","",IF(Calcoli!$B$251=1,J391,L391))</f>
        <v/>
      </c>
      <c r="W391" t="str">
        <f>IF(AND(V391&lt;&gt;"",ISNUMBER(A391)),A391,"")</f>
        <v/>
      </c>
    </row>
    <row r="392">
      <c r="A392" s="134" t="n"/>
      <c r="B392" s="116" t="n"/>
      <c r="C392" s="116" t="n"/>
      <c r="D392" s="121" t="n"/>
      <c r="E392" s="120" t="n"/>
      <c r="F392" s="120" t="n"/>
      <c r="G392" s="120" t="n"/>
      <c r="H392" s="120" t="n"/>
      <c r="I392" s="117" t="n"/>
      <c r="J392" s="123" t="str">
        <f>IF(B392="","",IF(F392&lt;&gt;"",N(F392),ROUND(N(D392)*N(E392),2)))</f>
        <v/>
      </c>
      <c r="K392" s="123" t="str">
        <f>IF(B392="","",IF(H392&lt;&gt;"",N(H392),IF(B392="Dividendo",ROUND(J392*IFERROR(INDEX(Calcoli!$V$7:$V$21,MATCH(C392,Calcoli!$A$7:$A$21,0)),0.26),2),IF(B392="Vendita",ROUND(MAX(0,U392)*IFERROR(INDEX(Calcoli!$V$7:$V$21,MATCH(C392,Calcoli!$A$7:$A$21,0)),0.26),2),0))))</f>
        <v/>
      </c>
      <c r="L392" s="135" t="str">
        <f>IF(B392="","",IF(B392="Acquisto",-(J392+N(G392)),J392-N(G392)-K392))</f>
        <v/>
      </c>
      <c r="M392" s="127" t="str">
        <f>IF(B392="","",IF(ISNA(MATCH(C392,ETF!$A$7:$A$21,0)),"ETF?",IF(NOT(ISNUMBER(A392)),"Data?",IF(AND(B392&lt;&gt;"Dividendo",N(D392)&lt;=0),"Quote?",IF(AND(B392="Vendita",N(D392)&gt;N(Q392)+0.000001),"Quote?",IF(J392&lt;=0,"Importo?","✓"))))))</f>
        <v/>
      </c>
      <c r="N392" t="str">
        <f>IF(OR(B392="Acquisto",B392="Vendita"),COUNTIFS($C$5:C392,C392,$B$5:B392,"Acquisto")+COUNTIFS($C$5:C392,C392,$B$5:B392,"Vendita"),"")</f>
        <v/>
      </c>
      <c r="O392" t="str">
        <f>IF(N392="","",C392&amp;"|"&amp;N392)</f>
        <v/>
      </c>
      <c r="P392" t="str">
        <f>IF(N392="","",IF(N392=1,0,MATCH(C392&amp;"|"&amp;(N392-1),$O$5:$O$1004,0)))</f>
        <v/>
      </c>
      <c r="Q392" t="str">
        <f>IF(N392="","",IF(P392=0,SUMIFS(Calcoli!$C$7:$C$21,Calcoli!$A$7:$A$21,C392),INDEX($S$5:$S$1004,P392)))</f>
        <v/>
      </c>
      <c r="R392" t="str">
        <f>IF(N392="","",IF(P392=0,SUMIFS(Calcoli!$D$7:$D$21,Calcoli!$A$7:$A$21,C392),INDEX($T$5:$T$1004,P392)))</f>
        <v/>
      </c>
      <c r="S392" t="str">
        <f>IF(N392="","",IF(B392="Acquisto",Q392+N(D392),MAX(0,Q392-N(D392))))</f>
        <v/>
      </c>
      <c r="T392" t="str">
        <f>IF(N392="","",IF(B392="Acquisto",R392+J392+N(G392),IF(Q392&lt;=0,0,R392*(1-MIN(1,N(D392)/Q392)))))</f>
        <v/>
      </c>
      <c r="U392" t="str">
        <f>IF(B392&lt;&gt;"Vendita","",J392-N(G392)-IF(Q392&lt;=0,0,R392*MIN(1,N(D392)/Q392)))</f>
        <v/>
      </c>
      <c r="V392" t="str">
        <f>IF(B392&lt;&gt;"Dividendo","",IF(Calcoli!$B$251=1,J392,L392))</f>
        <v/>
      </c>
      <c r="W392" t="str">
        <f>IF(AND(V392&lt;&gt;"",ISNUMBER(A392)),A392,"")</f>
        <v/>
      </c>
    </row>
    <row r="393">
      <c r="A393" s="134" t="n"/>
      <c r="B393" s="116" t="n"/>
      <c r="C393" s="116" t="n"/>
      <c r="D393" s="121" t="n"/>
      <c r="E393" s="120" t="n"/>
      <c r="F393" s="120" t="n"/>
      <c r="G393" s="120" t="n"/>
      <c r="H393" s="120" t="n"/>
      <c r="I393" s="117" t="n"/>
      <c r="J393" s="123" t="str">
        <f>IF(B393="","",IF(F393&lt;&gt;"",N(F393),ROUND(N(D393)*N(E393),2)))</f>
        <v/>
      </c>
      <c r="K393" s="123" t="str">
        <f>IF(B393="","",IF(H393&lt;&gt;"",N(H393),IF(B393="Dividendo",ROUND(J393*IFERROR(INDEX(Calcoli!$V$7:$V$21,MATCH(C393,Calcoli!$A$7:$A$21,0)),0.26),2),IF(B393="Vendita",ROUND(MAX(0,U393)*IFERROR(INDEX(Calcoli!$V$7:$V$21,MATCH(C393,Calcoli!$A$7:$A$21,0)),0.26),2),0))))</f>
        <v/>
      </c>
      <c r="L393" s="135" t="str">
        <f>IF(B393="","",IF(B393="Acquisto",-(J393+N(G393)),J393-N(G393)-K393))</f>
        <v/>
      </c>
      <c r="M393" s="127" t="str">
        <f>IF(B393="","",IF(ISNA(MATCH(C393,ETF!$A$7:$A$21,0)),"ETF?",IF(NOT(ISNUMBER(A393)),"Data?",IF(AND(B393&lt;&gt;"Dividendo",N(D393)&lt;=0),"Quote?",IF(AND(B393="Vendita",N(D393)&gt;N(Q393)+0.000001),"Quote?",IF(J393&lt;=0,"Importo?","✓"))))))</f>
        <v/>
      </c>
      <c r="N393" t="str">
        <f>IF(OR(B393="Acquisto",B393="Vendita"),COUNTIFS($C$5:C393,C393,$B$5:B393,"Acquisto")+COUNTIFS($C$5:C393,C393,$B$5:B393,"Vendita"),"")</f>
        <v/>
      </c>
      <c r="O393" t="str">
        <f>IF(N393="","",C393&amp;"|"&amp;N393)</f>
        <v/>
      </c>
      <c r="P393" t="str">
        <f>IF(N393="","",IF(N393=1,0,MATCH(C393&amp;"|"&amp;(N393-1),$O$5:$O$1004,0)))</f>
        <v/>
      </c>
      <c r="Q393" t="str">
        <f>IF(N393="","",IF(P393=0,SUMIFS(Calcoli!$C$7:$C$21,Calcoli!$A$7:$A$21,C393),INDEX($S$5:$S$1004,P393)))</f>
        <v/>
      </c>
      <c r="R393" t="str">
        <f>IF(N393="","",IF(P393=0,SUMIFS(Calcoli!$D$7:$D$21,Calcoli!$A$7:$A$21,C393),INDEX($T$5:$T$1004,P393)))</f>
        <v/>
      </c>
      <c r="S393" t="str">
        <f>IF(N393="","",IF(B393="Acquisto",Q393+N(D393),MAX(0,Q393-N(D393))))</f>
        <v/>
      </c>
      <c r="T393" t="str">
        <f>IF(N393="","",IF(B393="Acquisto",R393+J393+N(G393),IF(Q393&lt;=0,0,R393*(1-MIN(1,N(D393)/Q393)))))</f>
        <v/>
      </c>
      <c r="U393" t="str">
        <f>IF(B393&lt;&gt;"Vendita","",J393-N(G393)-IF(Q393&lt;=0,0,R393*MIN(1,N(D393)/Q393)))</f>
        <v/>
      </c>
      <c r="V393" t="str">
        <f>IF(B393&lt;&gt;"Dividendo","",IF(Calcoli!$B$251=1,J393,L393))</f>
        <v/>
      </c>
      <c r="W393" t="str">
        <f>IF(AND(V393&lt;&gt;"",ISNUMBER(A393)),A393,"")</f>
        <v/>
      </c>
    </row>
    <row r="394">
      <c r="A394" s="134" t="n"/>
      <c r="B394" s="116" t="n"/>
      <c r="C394" s="116" t="n"/>
      <c r="D394" s="121" t="n"/>
      <c r="E394" s="120" t="n"/>
      <c r="F394" s="120" t="n"/>
      <c r="G394" s="120" t="n"/>
      <c r="H394" s="120" t="n"/>
      <c r="I394" s="117" t="n"/>
      <c r="J394" s="123" t="str">
        <f>IF(B394="","",IF(F394&lt;&gt;"",N(F394),ROUND(N(D394)*N(E394),2)))</f>
        <v/>
      </c>
      <c r="K394" s="123" t="str">
        <f>IF(B394="","",IF(H394&lt;&gt;"",N(H394),IF(B394="Dividendo",ROUND(J394*IFERROR(INDEX(Calcoli!$V$7:$V$21,MATCH(C394,Calcoli!$A$7:$A$21,0)),0.26),2),IF(B394="Vendita",ROUND(MAX(0,U394)*IFERROR(INDEX(Calcoli!$V$7:$V$21,MATCH(C394,Calcoli!$A$7:$A$21,0)),0.26),2),0))))</f>
        <v/>
      </c>
      <c r="L394" s="135" t="str">
        <f>IF(B394="","",IF(B394="Acquisto",-(J394+N(G394)),J394-N(G394)-K394))</f>
        <v/>
      </c>
      <c r="M394" s="127" t="str">
        <f>IF(B394="","",IF(ISNA(MATCH(C394,ETF!$A$7:$A$21,0)),"ETF?",IF(NOT(ISNUMBER(A394)),"Data?",IF(AND(B394&lt;&gt;"Dividendo",N(D394)&lt;=0),"Quote?",IF(AND(B394="Vendita",N(D394)&gt;N(Q394)+0.000001),"Quote?",IF(J394&lt;=0,"Importo?","✓"))))))</f>
        <v/>
      </c>
      <c r="N394" t="str">
        <f>IF(OR(B394="Acquisto",B394="Vendita"),COUNTIFS($C$5:C394,C394,$B$5:B394,"Acquisto")+COUNTIFS($C$5:C394,C394,$B$5:B394,"Vendita"),"")</f>
        <v/>
      </c>
      <c r="O394" t="str">
        <f>IF(N394="","",C394&amp;"|"&amp;N394)</f>
        <v/>
      </c>
      <c r="P394" t="str">
        <f>IF(N394="","",IF(N394=1,0,MATCH(C394&amp;"|"&amp;(N394-1),$O$5:$O$1004,0)))</f>
        <v/>
      </c>
      <c r="Q394" t="str">
        <f>IF(N394="","",IF(P394=0,SUMIFS(Calcoli!$C$7:$C$21,Calcoli!$A$7:$A$21,C394),INDEX($S$5:$S$1004,P394)))</f>
        <v/>
      </c>
      <c r="R394" t="str">
        <f>IF(N394="","",IF(P394=0,SUMIFS(Calcoli!$D$7:$D$21,Calcoli!$A$7:$A$21,C394),INDEX($T$5:$T$1004,P394)))</f>
        <v/>
      </c>
      <c r="S394" t="str">
        <f>IF(N394="","",IF(B394="Acquisto",Q394+N(D394),MAX(0,Q394-N(D394))))</f>
        <v/>
      </c>
      <c r="T394" t="str">
        <f>IF(N394="","",IF(B394="Acquisto",R394+J394+N(G394),IF(Q394&lt;=0,0,R394*(1-MIN(1,N(D394)/Q394)))))</f>
        <v/>
      </c>
      <c r="U394" t="str">
        <f>IF(B394&lt;&gt;"Vendita","",J394-N(G394)-IF(Q394&lt;=0,0,R394*MIN(1,N(D394)/Q394)))</f>
        <v/>
      </c>
      <c r="V394" t="str">
        <f>IF(B394&lt;&gt;"Dividendo","",IF(Calcoli!$B$251=1,J394,L394))</f>
        <v/>
      </c>
      <c r="W394" t="str">
        <f>IF(AND(V394&lt;&gt;"",ISNUMBER(A394)),A394,"")</f>
        <v/>
      </c>
    </row>
    <row r="395">
      <c r="A395" s="134" t="n"/>
      <c r="B395" s="116" t="n"/>
      <c r="C395" s="116" t="n"/>
      <c r="D395" s="121" t="n"/>
      <c r="E395" s="120" t="n"/>
      <c r="F395" s="120" t="n"/>
      <c r="G395" s="120" t="n"/>
      <c r="H395" s="120" t="n"/>
      <c r="I395" s="117" t="n"/>
      <c r="J395" s="123" t="str">
        <f>IF(B395="","",IF(F395&lt;&gt;"",N(F395),ROUND(N(D395)*N(E395),2)))</f>
        <v/>
      </c>
      <c r="K395" s="123" t="str">
        <f>IF(B395="","",IF(H395&lt;&gt;"",N(H395),IF(B395="Dividendo",ROUND(J395*IFERROR(INDEX(Calcoli!$V$7:$V$21,MATCH(C395,Calcoli!$A$7:$A$21,0)),0.26),2),IF(B395="Vendita",ROUND(MAX(0,U395)*IFERROR(INDEX(Calcoli!$V$7:$V$21,MATCH(C395,Calcoli!$A$7:$A$21,0)),0.26),2),0))))</f>
        <v/>
      </c>
      <c r="L395" s="135" t="str">
        <f>IF(B395="","",IF(B395="Acquisto",-(J395+N(G395)),J395-N(G395)-K395))</f>
        <v/>
      </c>
      <c r="M395" s="127" t="str">
        <f>IF(B395="","",IF(ISNA(MATCH(C395,ETF!$A$7:$A$21,0)),"ETF?",IF(NOT(ISNUMBER(A395)),"Data?",IF(AND(B395&lt;&gt;"Dividendo",N(D395)&lt;=0),"Quote?",IF(AND(B395="Vendita",N(D395)&gt;N(Q395)+0.000001),"Quote?",IF(J395&lt;=0,"Importo?","✓"))))))</f>
        <v/>
      </c>
      <c r="N395" t="str">
        <f>IF(OR(B395="Acquisto",B395="Vendita"),COUNTIFS($C$5:C395,C395,$B$5:B395,"Acquisto")+COUNTIFS($C$5:C395,C395,$B$5:B395,"Vendita"),"")</f>
        <v/>
      </c>
      <c r="O395" t="str">
        <f>IF(N395="","",C395&amp;"|"&amp;N395)</f>
        <v/>
      </c>
      <c r="P395" t="str">
        <f>IF(N395="","",IF(N395=1,0,MATCH(C395&amp;"|"&amp;(N395-1),$O$5:$O$1004,0)))</f>
        <v/>
      </c>
      <c r="Q395" t="str">
        <f>IF(N395="","",IF(P395=0,SUMIFS(Calcoli!$C$7:$C$21,Calcoli!$A$7:$A$21,C395),INDEX($S$5:$S$1004,P395)))</f>
        <v/>
      </c>
      <c r="R395" t="str">
        <f>IF(N395="","",IF(P395=0,SUMIFS(Calcoli!$D$7:$D$21,Calcoli!$A$7:$A$21,C395),INDEX($T$5:$T$1004,P395)))</f>
        <v/>
      </c>
      <c r="S395" t="str">
        <f>IF(N395="","",IF(B395="Acquisto",Q395+N(D395),MAX(0,Q395-N(D395))))</f>
        <v/>
      </c>
      <c r="T395" t="str">
        <f>IF(N395="","",IF(B395="Acquisto",R395+J395+N(G395),IF(Q395&lt;=0,0,R395*(1-MIN(1,N(D395)/Q395)))))</f>
        <v/>
      </c>
      <c r="U395" t="str">
        <f>IF(B395&lt;&gt;"Vendita","",J395-N(G395)-IF(Q395&lt;=0,0,R395*MIN(1,N(D395)/Q395)))</f>
        <v/>
      </c>
      <c r="V395" t="str">
        <f>IF(B395&lt;&gt;"Dividendo","",IF(Calcoli!$B$251=1,J395,L395))</f>
        <v/>
      </c>
      <c r="W395" t="str">
        <f>IF(AND(V395&lt;&gt;"",ISNUMBER(A395)),A395,"")</f>
        <v/>
      </c>
    </row>
    <row r="396">
      <c r="A396" s="134" t="n"/>
      <c r="B396" s="116" t="n"/>
      <c r="C396" s="116" t="n"/>
      <c r="D396" s="121" t="n"/>
      <c r="E396" s="120" t="n"/>
      <c r="F396" s="120" t="n"/>
      <c r="G396" s="120" t="n"/>
      <c r="H396" s="120" t="n"/>
      <c r="I396" s="117" t="n"/>
      <c r="J396" s="123" t="str">
        <f>IF(B396="","",IF(F396&lt;&gt;"",N(F396),ROUND(N(D396)*N(E396),2)))</f>
        <v/>
      </c>
      <c r="K396" s="123" t="str">
        <f>IF(B396="","",IF(H396&lt;&gt;"",N(H396),IF(B396="Dividendo",ROUND(J396*IFERROR(INDEX(Calcoli!$V$7:$V$21,MATCH(C396,Calcoli!$A$7:$A$21,0)),0.26),2),IF(B396="Vendita",ROUND(MAX(0,U396)*IFERROR(INDEX(Calcoli!$V$7:$V$21,MATCH(C396,Calcoli!$A$7:$A$21,0)),0.26),2),0))))</f>
        <v/>
      </c>
      <c r="L396" s="135" t="str">
        <f>IF(B396="","",IF(B396="Acquisto",-(J396+N(G396)),J396-N(G396)-K396))</f>
        <v/>
      </c>
      <c r="M396" s="127" t="str">
        <f>IF(B396="","",IF(ISNA(MATCH(C396,ETF!$A$7:$A$21,0)),"ETF?",IF(NOT(ISNUMBER(A396)),"Data?",IF(AND(B396&lt;&gt;"Dividendo",N(D396)&lt;=0),"Quote?",IF(AND(B396="Vendita",N(D396)&gt;N(Q396)+0.000001),"Quote?",IF(J396&lt;=0,"Importo?","✓"))))))</f>
        <v/>
      </c>
      <c r="N396" t="str">
        <f>IF(OR(B396="Acquisto",B396="Vendita"),COUNTIFS($C$5:C396,C396,$B$5:B396,"Acquisto")+COUNTIFS($C$5:C396,C396,$B$5:B396,"Vendita"),"")</f>
        <v/>
      </c>
      <c r="O396" t="str">
        <f>IF(N396="","",C396&amp;"|"&amp;N396)</f>
        <v/>
      </c>
      <c r="P396" t="str">
        <f>IF(N396="","",IF(N396=1,0,MATCH(C396&amp;"|"&amp;(N396-1),$O$5:$O$1004,0)))</f>
        <v/>
      </c>
      <c r="Q396" t="str">
        <f>IF(N396="","",IF(P396=0,SUMIFS(Calcoli!$C$7:$C$21,Calcoli!$A$7:$A$21,C396),INDEX($S$5:$S$1004,P396)))</f>
        <v/>
      </c>
      <c r="R396" t="str">
        <f>IF(N396="","",IF(P396=0,SUMIFS(Calcoli!$D$7:$D$21,Calcoli!$A$7:$A$21,C396),INDEX($T$5:$T$1004,P396)))</f>
        <v/>
      </c>
      <c r="S396" t="str">
        <f>IF(N396="","",IF(B396="Acquisto",Q396+N(D396),MAX(0,Q396-N(D396))))</f>
        <v/>
      </c>
      <c r="T396" t="str">
        <f>IF(N396="","",IF(B396="Acquisto",R396+J396+N(G396),IF(Q396&lt;=0,0,R396*(1-MIN(1,N(D396)/Q396)))))</f>
        <v/>
      </c>
      <c r="U396" t="str">
        <f>IF(B396&lt;&gt;"Vendita","",J396-N(G396)-IF(Q396&lt;=0,0,R396*MIN(1,N(D396)/Q396)))</f>
        <v/>
      </c>
      <c r="V396" t="str">
        <f>IF(B396&lt;&gt;"Dividendo","",IF(Calcoli!$B$251=1,J396,L396))</f>
        <v/>
      </c>
      <c r="W396" t="str">
        <f>IF(AND(V396&lt;&gt;"",ISNUMBER(A396)),A396,"")</f>
        <v/>
      </c>
    </row>
    <row r="397">
      <c r="A397" s="134" t="n"/>
      <c r="B397" s="116" t="n"/>
      <c r="C397" s="116" t="n"/>
      <c r="D397" s="121" t="n"/>
      <c r="E397" s="120" t="n"/>
      <c r="F397" s="120" t="n"/>
      <c r="G397" s="120" t="n"/>
      <c r="H397" s="120" t="n"/>
      <c r="I397" s="117" t="n"/>
      <c r="J397" s="123" t="str">
        <f>IF(B397="","",IF(F397&lt;&gt;"",N(F397),ROUND(N(D397)*N(E397),2)))</f>
        <v/>
      </c>
      <c r="K397" s="123" t="str">
        <f>IF(B397="","",IF(H397&lt;&gt;"",N(H397),IF(B397="Dividendo",ROUND(J397*IFERROR(INDEX(Calcoli!$V$7:$V$21,MATCH(C397,Calcoli!$A$7:$A$21,0)),0.26),2),IF(B397="Vendita",ROUND(MAX(0,U397)*IFERROR(INDEX(Calcoli!$V$7:$V$21,MATCH(C397,Calcoli!$A$7:$A$21,0)),0.26),2),0))))</f>
        <v/>
      </c>
      <c r="L397" s="135" t="str">
        <f>IF(B397="","",IF(B397="Acquisto",-(J397+N(G397)),J397-N(G397)-K397))</f>
        <v/>
      </c>
      <c r="M397" s="127" t="str">
        <f>IF(B397="","",IF(ISNA(MATCH(C397,ETF!$A$7:$A$21,0)),"ETF?",IF(NOT(ISNUMBER(A397)),"Data?",IF(AND(B397&lt;&gt;"Dividendo",N(D397)&lt;=0),"Quote?",IF(AND(B397="Vendita",N(D397)&gt;N(Q397)+0.000001),"Quote?",IF(J397&lt;=0,"Importo?","✓"))))))</f>
        <v/>
      </c>
      <c r="N397" t="str">
        <f>IF(OR(B397="Acquisto",B397="Vendita"),COUNTIFS($C$5:C397,C397,$B$5:B397,"Acquisto")+COUNTIFS($C$5:C397,C397,$B$5:B397,"Vendita"),"")</f>
        <v/>
      </c>
      <c r="O397" t="str">
        <f>IF(N397="","",C397&amp;"|"&amp;N397)</f>
        <v/>
      </c>
      <c r="P397" t="str">
        <f>IF(N397="","",IF(N397=1,0,MATCH(C397&amp;"|"&amp;(N397-1),$O$5:$O$1004,0)))</f>
        <v/>
      </c>
      <c r="Q397" t="str">
        <f>IF(N397="","",IF(P397=0,SUMIFS(Calcoli!$C$7:$C$21,Calcoli!$A$7:$A$21,C397),INDEX($S$5:$S$1004,P397)))</f>
        <v/>
      </c>
      <c r="R397" t="str">
        <f>IF(N397="","",IF(P397=0,SUMIFS(Calcoli!$D$7:$D$21,Calcoli!$A$7:$A$21,C397),INDEX($T$5:$T$1004,P397)))</f>
        <v/>
      </c>
      <c r="S397" t="str">
        <f>IF(N397="","",IF(B397="Acquisto",Q397+N(D397),MAX(0,Q397-N(D397))))</f>
        <v/>
      </c>
      <c r="T397" t="str">
        <f>IF(N397="","",IF(B397="Acquisto",R397+J397+N(G397),IF(Q397&lt;=0,0,R397*(1-MIN(1,N(D397)/Q397)))))</f>
        <v/>
      </c>
      <c r="U397" t="str">
        <f>IF(B397&lt;&gt;"Vendita","",J397-N(G397)-IF(Q397&lt;=0,0,R397*MIN(1,N(D397)/Q397)))</f>
        <v/>
      </c>
      <c r="V397" t="str">
        <f>IF(B397&lt;&gt;"Dividendo","",IF(Calcoli!$B$251=1,J397,L397))</f>
        <v/>
      </c>
      <c r="W397" t="str">
        <f>IF(AND(V397&lt;&gt;"",ISNUMBER(A397)),A397,"")</f>
        <v/>
      </c>
    </row>
    <row r="398">
      <c r="A398" s="134" t="n"/>
      <c r="B398" s="116" t="n"/>
      <c r="C398" s="116" t="n"/>
      <c r="D398" s="121" t="n"/>
      <c r="E398" s="120" t="n"/>
      <c r="F398" s="120" t="n"/>
      <c r="G398" s="120" t="n"/>
      <c r="H398" s="120" t="n"/>
      <c r="I398" s="117" t="n"/>
      <c r="J398" s="123" t="str">
        <f>IF(B398="","",IF(F398&lt;&gt;"",N(F398),ROUND(N(D398)*N(E398),2)))</f>
        <v/>
      </c>
      <c r="K398" s="123" t="str">
        <f>IF(B398="","",IF(H398&lt;&gt;"",N(H398),IF(B398="Dividendo",ROUND(J398*IFERROR(INDEX(Calcoli!$V$7:$V$21,MATCH(C398,Calcoli!$A$7:$A$21,0)),0.26),2),IF(B398="Vendita",ROUND(MAX(0,U398)*IFERROR(INDEX(Calcoli!$V$7:$V$21,MATCH(C398,Calcoli!$A$7:$A$21,0)),0.26),2),0))))</f>
        <v/>
      </c>
      <c r="L398" s="135" t="str">
        <f>IF(B398="","",IF(B398="Acquisto",-(J398+N(G398)),J398-N(G398)-K398))</f>
        <v/>
      </c>
      <c r="M398" s="127" t="str">
        <f>IF(B398="","",IF(ISNA(MATCH(C398,ETF!$A$7:$A$21,0)),"ETF?",IF(NOT(ISNUMBER(A398)),"Data?",IF(AND(B398&lt;&gt;"Dividendo",N(D398)&lt;=0),"Quote?",IF(AND(B398="Vendita",N(D398)&gt;N(Q398)+0.000001),"Quote?",IF(J398&lt;=0,"Importo?","✓"))))))</f>
        <v/>
      </c>
      <c r="N398" t="str">
        <f>IF(OR(B398="Acquisto",B398="Vendita"),COUNTIFS($C$5:C398,C398,$B$5:B398,"Acquisto")+COUNTIFS($C$5:C398,C398,$B$5:B398,"Vendita"),"")</f>
        <v/>
      </c>
      <c r="O398" t="str">
        <f>IF(N398="","",C398&amp;"|"&amp;N398)</f>
        <v/>
      </c>
      <c r="P398" t="str">
        <f>IF(N398="","",IF(N398=1,0,MATCH(C398&amp;"|"&amp;(N398-1),$O$5:$O$1004,0)))</f>
        <v/>
      </c>
      <c r="Q398" t="str">
        <f>IF(N398="","",IF(P398=0,SUMIFS(Calcoli!$C$7:$C$21,Calcoli!$A$7:$A$21,C398),INDEX($S$5:$S$1004,P398)))</f>
        <v/>
      </c>
      <c r="R398" t="str">
        <f>IF(N398="","",IF(P398=0,SUMIFS(Calcoli!$D$7:$D$21,Calcoli!$A$7:$A$21,C398),INDEX($T$5:$T$1004,P398)))</f>
        <v/>
      </c>
      <c r="S398" t="str">
        <f>IF(N398="","",IF(B398="Acquisto",Q398+N(D398),MAX(0,Q398-N(D398))))</f>
        <v/>
      </c>
      <c r="T398" t="str">
        <f>IF(N398="","",IF(B398="Acquisto",R398+J398+N(G398),IF(Q398&lt;=0,0,R398*(1-MIN(1,N(D398)/Q398)))))</f>
        <v/>
      </c>
      <c r="U398" t="str">
        <f>IF(B398&lt;&gt;"Vendita","",J398-N(G398)-IF(Q398&lt;=0,0,R398*MIN(1,N(D398)/Q398)))</f>
        <v/>
      </c>
      <c r="V398" t="str">
        <f>IF(B398&lt;&gt;"Dividendo","",IF(Calcoli!$B$251=1,J398,L398))</f>
        <v/>
      </c>
      <c r="W398" t="str">
        <f>IF(AND(V398&lt;&gt;"",ISNUMBER(A398)),A398,"")</f>
        <v/>
      </c>
    </row>
    <row r="399">
      <c r="A399" s="134" t="n"/>
      <c r="B399" s="116" t="n"/>
      <c r="C399" s="116" t="n"/>
      <c r="D399" s="121" t="n"/>
      <c r="E399" s="120" t="n"/>
      <c r="F399" s="120" t="n"/>
      <c r="G399" s="120" t="n"/>
      <c r="H399" s="120" t="n"/>
      <c r="I399" s="117" t="n"/>
      <c r="J399" s="123" t="str">
        <f>IF(B399="","",IF(F399&lt;&gt;"",N(F399),ROUND(N(D399)*N(E399),2)))</f>
        <v/>
      </c>
      <c r="K399" s="123" t="str">
        <f>IF(B399="","",IF(H399&lt;&gt;"",N(H399),IF(B399="Dividendo",ROUND(J399*IFERROR(INDEX(Calcoli!$V$7:$V$21,MATCH(C399,Calcoli!$A$7:$A$21,0)),0.26),2),IF(B399="Vendita",ROUND(MAX(0,U399)*IFERROR(INDEX(Calcoli!$V$7:$V$21,MATCH(C399,Calcoli!$A$7:$A$21,0)),0.26),2),0))))</f>
        <v/>
      </c>
      <c r="L399" s="135" t="str">
        <f>IF(B399="","",IF(B399="Acquisto",-(J399+N(G399)),J399-N(G399)-K399))</f>
        <v/>
      </c>
      <c r="M399" s="127" t="str">
        <f>IF(B399="","",IF(ISNA(MATCH(C399,ETF!$A$7:$A$21,0)),"ETF?",IF(NOT(ISNUMBER(A399)),"Data?",IF(AND(B399&lt;&gt;"Dividendo",N(D399)&lt;=0),"Quote?",IF(AND(B399="Vendita",N(D399)&gt;N(Q399)+0.000001),"Quote?",IF(J399&lt;=0,"Importo?","✓"))))))</f>
        <v/>
      </c>
      <c r="N399" t="str">
        <f>IF(OR(B399="Acquisto",B399="Vendita"),COUNTIFS($C$5:C399,C399,$B$5:B399,"Acquisto")+COUNTIFS($C$5:C399,C399,$B$5:B399,"Vendita"),"")</f>
        <v/>
      </c>
      <c r="O399" t="str">
        <f>IF(N399="","",C399&amp;"|"&amp;N399)</f>
        <v/>
      </c>
      <c r="P399" t="str">
        <f>IF(N399="","",IF(N399=1,0,MATCH(C399&amp;"|"&amp;(N399-1),$O$5:$O$1004,0)))</f>
        <v/>
      </c>
      <c r="Q399" t="str">
        <f>IF(N399="","",IF(P399=0,SUMIFS(Calcoli!$C$7:$C$21,Calcoli!$A$7:$A$21,C399),INDEX($S$5:$S$1004,P399)))</f>
        <v/>
      </c>
      <c r="R399" t="str">
        <f>IF(N399="","",IF(P399=0,SUMIFS(Calcoli!$D$7:$D$21,Calcoli!$A$7:$A$21,C399),INDEX($T$5:$T$1004,P399)))</f>
        <v/>
      </c>
      <c r="S399" t="str">
        <f>IF(N399="","",IF(B399="Acquisto",Q399+N(D399),MAX(0,Q399-N(D399))))</f>
        <v/>
      </c>
      <c r="T399" t="str">
        <f>IF(N399="","",IF(B399="Acquisto",R399+J399+N(G399),IF(Q399&lt;=0,0,R399*(1-MIN(1,N(D399)/Q399)))))</f>
        <v/>
      </c>
      <c r="U399" t="str">
        <f>IF(B399&lt;&gt;"Vendita","",J399-N(G399)-IF(Q399&lt;=0,0,R399*MIN(1,N(D399)/Q399)))</f>
        <v/>
      </c>
      <c r="V399" t="str">
        <f>IF(B399&lt;&gt;"Dividendo","",IF(Calcoli!$B$251=1,J399,L399))</f>
        <v/>
      </c>
      <c r="W399" t="str">
        <f>IF(AND(V399&lt;&gt;"",ISNUMBER(A399)),A399,"")</f>
        <v/>
      </c>
    </row>
    <row r="400">
      <c r="A400" s="134" t="n"/>
      <c r="B400" s="116" t="n"/>
      <c r="C400" s="116" t="n"/>
      <c r="D400" s="121" t="n"/>
      <c r="E400" s="120" t="n"/>
      <c r="F400" s="120" t="n"/>
      <c r="G400" s="120" t="n"/>
      <c r="H400" s="120" t="n"/>
      <c r="I400" s="117" t="n"/>
      <c r="J400" s="123" t="str">
        <f>IF(B400="","",IF(F400&lt;&gt;"",N(F400),ROUND(N(D400)*N(E400),2)))</f>
        <v/>
      </c>
      <c r="K400" s="123" t="str">
        <f>IF(B400="","",IF(H400&lt;&gt;"",N(H400),IF(B400="Dividendo",ROUND(J400*IFERROR(INDEX(Calcoli!$V$7:$V$21,MATCH(C400,Calcoli!$A$7:$A$21,0)),0.26),2),IF(B400="Vendita",ROUND(MAX(0,U400)*IFERROR(INDEX(Calcoli!$V$7:$V$21,MATCH(C400,Calcoli!$A$7:$A$21,0)),0.26),2),0))))</f>
        <v/>
      </c>
      <c r="L400" s="135" t="str">
        <f>IF(B400="","",IF(B400="Acquisto",-(J400+N(G400)),J400-N(G400)-K400))</f>
        <v/>
      </c>
      <c r="M400" s="127" t="str">
        <f>IF(B400="","",IF(ISNA(MATCH(C400,ETF!$A$7:$A$21,0)),"ETF?",IF(NOT(ISNUMBER(A400)),"Data?",IF(AND(B400&lt;&gt;"Dividendo",N(D400)&lt;=0),"Quote?",IF(AND(B400="Vendita",N(D400)&gt;N(Q400)+0.000001),"Quote?",IF(J400&lt;=0,"Importo?","✓"))))))</f>
        <v/>
      </c>
      <c r="N400" t="str">
        <f>IF(OR(B400="Acquisto",B400="Vendita"),COUNTIFS($C$5:C400,C400,$B$5:B400,"Acquisto")+COUNTIFS($C$5:C400,C400,$B$5:B400,"Vendita"),"")</f>
        <v/>
      </c>
      <c r="O400" t="str">
        <f>IF(N400="","",C400&amp;"|"&amp;N400)</f>
        <v/>
      </c>
      <c r="P400" t="str">
        <f>IF(N400="","",IF(N400=1,0,MATCH(C400&amp;"|"&amp;(N400-1),$O$5:$O$1004,0)))</f>
        <v/>
      </c>
      <c r="Q400" t="str">
        <f>IF(N400="","",IF(P400=0,SUMIFS(Calcoli!$C$7:$C$21,Calcoli!$A$7:$A$21,C400),INDEX($S$5:$S$1004,P400)))</f>
        <v/>
      </c>
      <c r="R400" t="str">
        <f>IF(N400="","",IF(P400=0,SUMIFS(Calcoli!$D$7:$D$21,Calcoli!$A$7:$A$21,C400),INDEX($T$5:$T$1004,P400)))</f>
        <v/>
      </c>
      <c r="S400" t="str">
        <f>IF(N400="","",IF(B400="Acquisto",Q400+N(D400),MAX(0,Q400-N(D400))))</f>
        <v/>
      </c>
      <c r="T400" t="str">
        <f>IF(N400="","",IF(B400="Acquisto",R400+J400+N(G400),IF(Q400&lt;=0,0,R400*(1-MIN(1,N(D400)/Q400)))))</f>
        <v/>
      </c>
      <c r="U400" t="str">
        <f>IF(B400&lt;&gt;"Vendita","",J400-N(G400)-IF(Q400&lt;=0,0,R400*MIN(1,N(D400)/Q400)))</f>
        <v/>
      </c>
      <c r="V400" t="str">
        <f>IF(B400&lt;&gt;"Dividendo","",IF(Calcoli!$B$251=1,J400,L400))</f>
        <v/>
      </c>
      <c r="W400" t="str">
        <f>IF(AND(V400&lt;&gt;"",ISNUMBER(A400)),A400,"")</f>
        <v/>
      </c>
    </row>
    <row r="401">
      <c r="A401" s="134" t="n"/>
      <c r="B401" s="116" t="n"/>
      <c r="C401" s="116" t="n"/>
      <c r="D401" s="121" t="n"/>
      <c r="E401" s="120" t="n"/>
      <c r="F401" s="120" t="n"/>
      <c r="G401" s="120" t="n"/>
      <c r="H401" s="120" t="n"/>
      <c r="I401" s="117" t="n"/>
      <c r="J401" s="123" t="str">
        <f>IF(B401="","",IF(F401&lt;&gt;"",N(F401),ROUND(N(D401)*N(E401),2)))</f>
        <v/>
      </c>
      <c r="K401" s="123" t="str">
        <f>IF(B401="","",IF(H401&lt;&gt;"",N(H401),IF(B401="Dividendo",ROUND(J401*IFERROR(INDEX(Calcoli!$V$7:$V$21,MATCH(C401,Calcoli!$A$7:$A$21,0)),0.26),2),IF(B401="Vendita",ROUND(MAX(0,U401)*IFERROR(INDEX(Calcoli!$V$7:$V$21,MATCH(C401,Calcoli!$A$7:$A$21,0)),0.26),2),0))))</f>
        <v/>
      </c>
      <c r="L401" s="135" t="str">
        <f>IF(B401="","",IF(B401="Acquisto",-(J401+N(G401)),J401-N(G401)-K401))</f>
        <v/>
      </c>
      <c r="M401" s="127" t="str">
        <f>IF(B401="","",IF(ISNA(MATCH(C401,ETF!$A$7:$A$21,0)),"ETF?",IF(NOT(ISNUMBER(A401)),"Data?",IF(AND(B401&lt;&gt;"Dividendo",N(D401)&lt;=0),"Quote?",IF(AND(B401="Vendita",N(D401)&gt;N(Q401)+0.000001),"Quote?",IF(J401&lt;=0,"Importo?","✓"))))))</f>
        <v/>
      </c>
      <c r="N401" t="str">
        <f>IF(OR(B401="Acquisto",B401="Vendita"),COUNTIFS($C$5:C401,C401,$B$5:B401,"Acquisto")+COUNTIFS($C$5:C401,C401,$B$5:B401,"Vendita"),"")</f>
        <v/>
      </c>
      <c r="O401" t="str">
        <f>IF(N401="","",C401&amp;"|"&amp;N401)</f>
        <v/>
      </c>
      <c r="P401" t="str">
        <f>IF(N401="","",IF(N401=1,0,MATCH(C401&amp;"|"&amp;(N401-1),$O$5:$O$1004,0)))</f>
        <v/>
      </c>
      <c r="Q401" t="str">
        <f>IF(N401="","",IF(P401=0,SUMIFS(Calcoli!$C$7:$C$21,Calcoli!$A$7:$A$21,C401),INDEX($S$5:$S$1004,P401)))</f>
        <v/>
      </c>
      <c r="R401" t="str">
        <f>IF(N401="","",IF(P401=0,SUMIFS(Calcoli!$D$7:$D$21,Calcoli!$A$7:$A$21,C401),INDEX($T$5:$T$1004,P401)))</f>
        <v/>
      </c>
      <c r="S401" t="str">
        <f>IF(N401="","",IF(B401="Acquisto",Q401+N(D401),MAX(0,Q401-N(D401))))</f>
        <v/>
      </c>
      <c r="T401" t="str">
        <f>IF(N401="","",IF(B401="Acquisto",R401+J401+N(G401),IF(Q401&lt;=0,0,R401*(1-MIN(1,N(D401)/Q401)))))</f>
        <v/>
      </c>
      <c r="U401" t="str">
        <f>IF(B401&lt;&gt;"Vendita","",J401-N(G401)-IF(Q401&lt;=0,0,R401*MIN(1,N(D401)/Q401)))</f>
        <v/>
      </c>
      <c r="V401" t="str">
        <f>IF(B401&lt;&gt;"Dividendo","",IF(Calcoli!$B$251=1,J401,L401))</f>
        <v/>
      </c>
      <c r="W401" t="str">
        <f>IF(AND(V401&lt;&gt;"",ISNUMBER(A401)),A401,"")</f>
        <v/>
      </c>
    </row>
    <row r="402">
      <c r="A402" s="134" t="n"/>
      <c r="B402" s="116" t="n"/>
      <c r="C402" s="116" t="n"/>
      <c r="D402" s="121" t="n"/>
      <c r="E402" s="120" t="n"/>
      <c r="F402" s="120" t="n"/>
      <c r="G402" s="120" t="n"/>
      <c r="H402" s="120" t="n"/>
      <c r="I402" s="117" t="n"/>
      <c r="J402" s="123" t="str">
        <f>IF(B402="","",IF(F402&lt;&gt;"",N(F402),ROUND(N(D402)*N(E402),2)))</f>
        <v/>
      </c>
      <c r="K402" s="123" t="str">
        <f>IF(B402="","",IF(H402&lt;&gt;"",N(H402),IF(B402="Dividendo",ROUND(J402*IFERROR(INDEX(Calcoli!$V$7:$V$21,MATCH(C402,Calcoli!$A$7:$A$21,0)),0.26),2),IF(B402="Vendita",ROUND(MAX(0,U402)*IFERROR(INDEX(Calcoli!$V$7:$V$21,MATCH(C402,Calcoli!$A$7:$A$21,0)),0.26),2),0))))</f>
        <v/>
      </c>
      <c r="L402" s="135" t="str">
        <f>IF(B402="","",IF(B402="Acquisto",-(J402+N(G402)),J402-N(G402)-K402))</f>
        <v/>
      </c>
      <c r="M402" s="127" t="str">
        <f>IF(B402="","",IF(ISNA(MATCH(C402,ETF!$A$7:$A$21,0)),"ETF?",IF(NOT(ISNUMBER(A402)),"Data?",IF(AND(B402&lt;&gt;"Dividendo",N(D402)&lt;=0),"Quote?",IF(AND(B402="Vendita",N(D402)&gt;N(Q402)+0.000001),"Quote?",IF(J402&lt;=0,"Importo?","✓"))))))</f>
        <v/>
      </c>
      <c r="N402" t="str">
        <f>IF(OR(B402="Acquisto",B402="Vendita"),COUNTIFS($C$5:C402,C402,$B$5:B402,"Acquisto")+COUNTIFS($C$5:C402,C402,$B$5:B402,"Vendita"),"")</f>
        <v/>
      </c>
      <c r="O402" t="str">
        <f>IF(N402="","",C402&amp;"|"&amp;N402)</f>
        <v/>
      </c>
      <c r="P402" t="str">
        <f>IF(N402="","",IF(N402=1,0,MATCH(C402&amp;"|"&amp;(N402-1),$O$5:$O$1004,0)))</f>
        <v/>
      </c>
      <c r="Q402" t="str">
        <f>IF(N402="","",IF(P402=0,SUMIFS(Calcoli!$C$7:$C$21,Calcoli!$A$7:$A$21,C402),INDEX($S$5:$S$1004,P402)))</f>
        <v/>
      </c>
      <c r="R402" t="str">
        <f>IF(N402="","",IF(P402=0,SUMIFS(Calcoli!$D$7:$D$21,Calcoli!$A$7:$A$21,C402),INDEX($T$5:$T$1004,P402)))</f>
        <v/>
      </c>
      <c r="S402" t="str">
        <f>IF(N402="","",IF(B402="Acquisto",Q402+N(D402),MAX(0,Q402-N(D402))))</f>
        <v/>
      </c>
      <c r="T402" t="str">
        <f>IF(N402="","",IF(B402="Acquisto",R402+J402+N(G402),IF(Q402&lt;=0,0,R402*(1-MIN(1,N(D402)/Q402)))))</f>
        <v/>
      </c>
      <c r="U402" t="str">
        <f>IF(B402&lt;&gt;"Vendita","",J402-N(G402)-IF(Q402&lt;=0,0,R402*MIN(1,N(D402)/Q402)))</f>
        <v/>
      </c>
      <c r="V402" t="str">
        <f>IF(B402&lt;&gt;"Dividendo","",IF(Calcoli!$B$251=1,J402,L402))</f>
        <v/>
      </c>
      <c r="W402" t="str">
        <f>IF(AND(V402&lt;&gt;"",ISNUMBER(A402)),A402,"")</f>
        <v/>
      </c>
    </row>
    <row r="403">
      <c r="A403" s="134" t="n"/>
      <c r="B403" s="116" t="n"/>
      <c r="C403" s="116" t="n"/>
      <c r="D403" s="121" t="n"/>
      <c r="E403" s="120" t="n"/>
      <c r="F403" s="120" t="n"/>
      <c r="G403" s="120" t="n"/>
      <c r="H403" s="120" t="n"/>
      <c r="I403" s="117" t="n"/>
      <c r="J403" s="123" t="str">
        <f>IF(B403="","",IF(F403&lt;&gt;"",N(F403),ROUND(N(D403)*N(E403),2)))</f>
        <v/>
      </c>
      <c r="K403" s="123" t="str">
        <f>IF(B403="","",IF(H403&lt;&gt;"",N(H403),IF(B403="Dividendo",ROUND(J403*IFERROR(INDEX(Calcoli!$V$7:$V$21,MATCH(C403,Calcoli!$A$7:$A$21,0)),0.26),2),IF(B403="Vendita",ROUND(MAX(0,U403)*IFERROR(INDEX(Calcoli!$V$7:$V$21,MATCH(C403,Calcoli!$A$7:$A$21,0)),0.26),2),0))))</f>
        <v/>
      </c>
      <c r="L403" s="135" t="str">
        <f>IF(B403="","",IF(B403="Acquisto",-(J403+N(G403)),J403-N(G403)-K403))</f>
        <v/>
      </c>
      <c r="M403" s="127" t="str">
        <f>IF(B403="","",IF(ISNA(MATCH(C403,ETF!$A$7:$A$21,0)),"ETF?",IF(NOT(ISNUMBER(A403)),"Data?",IF(AND(B403&lt;&gt;"Dividendo",N(D403)&lt;=0),"Quote?",IF(AND(B403="Vendita",N(D403)&gt;N(Q403)+0.000001),"Quote?",IF(J403&lt;=0,"Importo?","✓"))))))</f>
        <v/>
      </c>
      <c r="N403" t="str">
        <f>IF(OR(B403="Acquisto",B403="Vendita"),COUNTIFS($C$5:C403,C403,$B$5:B403,"Acquisto")+COUNTIFS($C$5:C403,C403,$B$5:B403,"Vendita"),"")</f>
        <v/>
      </c>
      <c r="O403" t="str">
        <f>IF(N403="","",C403&amp;"|"&amp;N403)</f>
        <v/>
      </c>
      <c r="P403" t="str">
        <f>IF(N403="","",IF(N403=1,0,MATCH(C403&amp;"|"&amp;(N403-1),$O$5:$O$1004,0)))</f>
        <v/>
      </c>
      <c r="Q403" t="str">
        <f>IF(N403="","",IF(P403=0,SUMIFS(Calcoli!$C$7:$C$21,Calcoli!$A$7:$A$21,C403),INDEX($S$5:$S$1004,P403)))</f>
        <v/>
      </c>
      <c r="R403" t="str">
        <f>IF(N403="","",IF(P403=0,SUMIFS(Calcoli!$D$7:$D$21,Calcoli!$A$7:$A$21,C403),INDEX($T$5:$T$1004,P403)))</f>
        <v/>
      </c>
      <c r="S403" t="str">
        <f>IF(N403="","",IF(B403="Acquisto",Q403+N(D403),MAX(0,Q403-N(D403))))</f>
        <v/>
      </c>
      <c r="T403" t="str">
        <f>IF(N403="","",IF(B403="Acquisto",R403+J403+N(G403),IF(Q403&lt;=0,0,R403*(1-MIN(1,N(D403)/Q403)))))</f>
        <v/>
      </c>
      <c r="U403" t="str">
        <f>IF(B403&lt;&gt;"Vendita","",J403-N(G403)-IF(Q403&lt;=0,0,R403*MIN(1,N(D403)/Q403)))</f>
        <v/>
      </c>
      <c r="V403" t="str">
        <f>IF(B403&lt;&gt;"Dividendo","",IF(Calcoli!$B$251=1,J403,L403))</f>
        <v/>
      </c>
      <c r="W403" t="str">
        <f>IF(AND(V403&lt;&gt;"",ISNUMBER(A403)),A403,"")</f>
        <v/>
      </c>
    </row>
    <row r="404">
      <c r="A404" s="134" t="n"/>
      <c r="B404" s="116" t="n"/>
      <c r="C404" s="116" t="n"/>
      <c r="D404" s="121" t="n"/>
      <c r="E404" s="120" t="n"/>
      <c r="F404" s="120" t="n"/>
      <c r="G404" s="120" t="n"/>
      <c r="H404" s="120" t="n"/>
      <c r="I404" s="117" t="n"/>
      <c r="J404" s="123" t="str">
        <f>IF(B404="","",IF(F404&lt;&gt;"",N(F404),ROUND(N(D404)*N(E404),2)))</f>
        <v/>
      </c>
      <c r="K404" s="123" t="str">
        <f>IF(B404="","",IF(H404&lt;&gt;"",N(H404),IF(B404="Dividendo",ROUND(J404*IFERROR(INDEX(Calcoli!$V$7:$V$21,MATCH(C404,Calcoli!$A$7:$A$21,0)),0.26),2),IF(B404="Vendita",ROUND(MAX(0,U404)*IFERROR(INDEX(Calcoli!$V$7:$V$21,MATCH(C404,Calcoli!$A$7:$A$21,0)),0.26),2),0))))</f>
        <v/>
      </c>
      <c r="L404" s="135" t="str">
        <f>IF(B404="","",IF(B404="Acquisto",-(J404+N(G404)),J404-N(G404)-K404))</f>
        <v/>
      </c>
      <c r="M404" s="127" t="str">
        <f>IF(B404="","",IF(ISNA(MATCH(C404,ETF!$A$7:$A$21,0)),"ETF?",IF(NOT(ISNUMBER(A404)),"Data?",IF(AND(B404&lt;&gt;"Dividendo",N(D404)&lt;=0),"Quote?",IF(AND(B404="Vendita",N(D404)&gt;N(Q404)+0.000001),"Quote?",IF(J404&lt;=0,"Importo?","✓"))))))</f>
        <v/>
      </c>
      <c r="N404" t="str">
        <f>IF(OR(B404="Acquisto",B404="Vendita"),COUNTIFS($C$5:C404,C404,$B$5:B404,"Acquisto")+COUNTIFS($C$5:C404,C404,$B$5:B404,"Vendita"),"")</f>
        <v/>
      </c>
      <c r="O404" t="str">
        <f>IF(N404="","",C404&amp;"|"&amp;N404)</f>
        <v/>
      </c>
      <c r="P404" t="str">
        <f>IF(N404="","",IF(N404=1,0,MATCH(C404&amp;"|"&amp;(N404-1),$O$5:$O$1004,0)))</f>
        <v/>
      </c>
      <c r="Q404" t="str">
        <f>IF(N404="","",IF(P404=0,SUMIFS(Calcoli!$C$7:$C$21,Calcoli!$A$7:$A$21,C404),INDEX($S$5:$S$1004,P404)))</f>
        <v/>
      </c>
      <c r="R404" t="str">
        <f>IF(N404="","",IF(P404=0,SUMIFS(Calcoli!$D$7:$D$21,Calcoli!$A$7:$A$21,C404),INDEX($T$5:$T$1004,P404)))</f>
        <v/>
      </c>
      <c r="S404" t="str">
        <f>IF(N404="","",IF(B404="Acquisto",Q404+N(D404),MAX(0,Q404-N(D404))))</f>
        <v/>
      </c>
      <c r="T404" t="str">
        <f>IF(N404="","",IF(B404="Acquisto",R404+J404+N(G404),IF(Q404&lt;=0,0,R404*(1-MIN(1,N(D404)/Q404)))))</f>
        <v/>
      </c>
      <c r="U404" t="str">
        <f>IF(B404&lt;&gt;"Vendita","",J404-N(G404)-IF(Q404&lt;=0,0,R404*MIN(1,N(D404)/Q404)))</f>
        <v/>
      </c>
      <c r="V404" t="str">
        <f>IF(B404&lt;&gt;"Dividendo","",IF(Calcoli!$B$251=1,J404,L404))</f>
        <v/>
      </c>
      <c r="W404" t="str">
        <f>IF(AND(V404&lt;&gt;"",ISNUMBER(A404)),A404,"")</f>
        <v/>
      </c>
    </row>
    <row r="405">
      <c r="A405" s="134" t="n"/>
      <c r="B405" s="116" t="n"/>
      <c r="C405" s="116" t="n"/>
      <c r="D405" s="121" t="n"/>
      <c r="E405" s="120" t="n"/>
      <c r="F405" s="120" t="n"/>
      <c r="G405" s="120" t="n"/>
      <c r="H405" s="120" t="n"/>
      <c r="I405" s="117" t="n"/>
      <c r="J405" s="123" t="str">
        <f>IF(B405="","",IF(F405&lt;&gt;"",N(F405),ROUND(N(D405)*N(E405),2)))</f>
        <v/>
      </c>
      <c r="K405" s="123" t="str">
        <f>IF(B405="","",IF(H405&lt;&gt;"",N(H405),IF(B405="Dividendo",ROUND(J405*IFERROR(INDEX(Calcoli!$V$7:$V$21,MATCH(C405,Calcoli!$A$7:$A$21,0)),0.26),2),IF(B405="Vendita",ROUND(MAX(0,U405)*IFERROR(INDEX(Calcoli!$V$7:$V$21,MATCH(C405,Calcoli!$A$7:$A$21,0)),0.26),2),0))))</f>
        <v/>
      </c>
      <c r="L405" s="135" t="str">
        <f>IF(B405="","",IF(B405="Acquisto",-(J405+N(G405)),J405-N(G405)-K405))</f>
        <v/>
      </c>
      <c r="M405" s="127" t="str">
        <f>IF(B405="","",IF(ISNA(MATCH(C405,ETF!$A$7:$A$21,0)),"ETF?",IF(NOT(ISNUMBER(A405)),"Data?",IF(AND(B405&lt;&gt;"Dividendo",N(D405)&lt;=0),"Quote?",IF(AND(B405="Vendita",N(D405)&gt;N(Q405)+0.000001),"Quote?",IF(J405&lt;=0,"Importo?","✓"))))))</f>
        <v/>
      </c>
      <c r="N405" t="str">
        <f>IF(OR(B405="Acquisto",B405="Vendita"),COUNTIFS($C$5:C405,C405,$B$5:B405,"Acquisto")+COUNTIFS($C$5:C405,C405,$B$5:B405,"Vendita"),"")</f>
        <v/>
      </c>
      <c r="O405" t="str">
        <f>IF(N405="","",C405&amp;"|"&amp;N405)</f>
        <v/>
      </c>
      <c r="P405" t="str">
        <f>IF(N405="","",IF(N405=1,0,MATCH(C405&amp;"|"&amp;(N405-1),$O$5:$O$1004,0)))</f>
        <v/>
      </c>
      <c r="Q405" t="str">
        <f>IF(N405="","",IF(P405=0,SUMIFS(Calcoli!$C$7:$C$21,Calcoli!$A$7:$A$21,C405),INDEX($S$5:$S$1004,P405)))</f>
        <v/>
      </c>
      <c r="R405" t="str">
        <f>IF(N405="","",IF(P405=0,SUMIFS(Calcoli!$D$7:$D$21,Calcoli!$A$7:$A$21,C405),INDEX($T$5:$T$1004,P405)))</f>
        <v/>
      </c>
      <c r="S405" t="str">
        <f>IF(N405="","",IF(B405="Acquisto",Q405+N(D405),MAX(0,Q405-N(D405))))</f>
        <v/>
      </c>
      <c r="T405" t="str">
        <f>IF(N405="","",IF(B405="Acquisto",R405+J405+N(G405),IF(Q405&lt;=0,0,R405*(1-MIN(1,N(D405)/Q405)))))</f>
        <v/>
      </c>
      <c r="U405" t="str">
        <f>IF(B405&lt;&gt;"Vendita","",J405-N(G405)-IF(Q405&lt;=0,0,R405*MIN(1,N(D405)/Q405)))</f>
        <v/>
      </c>
      <c r="V405" t="str">
        <f>IF(B405&lt;&gt;"Dividendo","",IF(Calcoli!$B$251=1,J405,L405))</f>
        <v/>
      </c>
      <c r="W405" t="str">
        <f>IF(AND(V405&lt;&gt;"",ISNUMBER(A405)),A405,"")</f>
        <v/>
      </c>
    </row>
    <row r="406">
      <c r="A406" s="134" t="n"/>
      <c r="B406" s="116" t="n"/>
      <c r="C406" s="116" t="n"/>
      <c r="D406" s="121" t="n"/>
      <c r="E406" s="120" t="n"/>
      <c r="F406" s="120" t="n"/>
      <c r="G406" s="120" t="n"/>
      <c r="H406" s="120" t="n"/>
      <c r="I406" s="117" t="n"/>
      <c r="J406" s="123" t="str">
        <f>IF(B406="","",IF(F406&lt;&gt;"",N(F406),ROUND(N(D406)*N(E406),2)))</f>
        <v/>
      </c>
      <c r="K406" s="123" t="str">
        <f>IF(B406="","",IF(H406&lt;&gt;"",N(H406),IF(B406="Dividendo",ROUND(J406*IFERROR(INDEX(Calcoli!$V$7:$V$21,MATCH(C406,Calcoli!$A$7:$A$21,0)),0.26),2),IF(B406="Vendita",ROUND(MAX(0,U406)*IFERROR(INDEX(Calcoli!$V$7:$V$21,MATCH(C406,Calcoli!$A$7:$A$21,0)),0.26),2),0))))</f>
        <v/>
      </c>
      <c r="L406" s="135" t="str">
        <f>IF(B406="","",IF(B406="Acquisto",-(J406+N(G406)),J406-N(G406)-K406))</f>
        <v/>
      </c>
      <c r="M406" s="127" t="str">
        <f>IF(B406="","",IF(ISNA(MATCH(C406,ETF!$A$7:$A$21,0)),"ETF?",IF(NOT(ISNUMBER(A406)),"Data?",IF(AND(B406&lt;&gt;"Dividendo",N(D406)&lt;=0),"Quote?",IF(AND(B406="Vendita",N(D406)&gt;N(Q406)+0.000001),"Quote?",IF(J406&lt;=0,"Importo?","✓"))))))</f>
        <v/>
      </c>
      <c r="N406" t="str">
        <f>IF(OR(B406="Acquisto",B406="Vendita"),COUNTIFS($C$5:C406,C406,$B$5:B406,"Acquisto")+COUNTIFS($C$5:C406,C406,$B$5:B406,"Vendita"),"")</f>
        <v/>
      </c>
      <c r="O406" t="str">
        <f>IF(N406="","",C406&amp;"|"&amp;N406)</f>
        <v/>
      </c>
      <c r="P406" t="str">
        <f>IF(N406="","",IF(N406=1,0,MATCH(C406&amp;"|"&amp;(N406-1),$O$5:$O$1004,0)))</f>
        <v/>
      </c>
      <c r="Q406" t="str">
        <f>IF(N406="","",IF(P406=0,SUMIFS(Calcoli!$C$7:$C$21,Calcoli!$A$7:$A$21,C406),INDEX($S$5:$S$1004,P406)))</f>
        <v/>
      </c>
      <c r="R406" t="str">
        <f>IF(N406="","",IF(P406=0,SUMIFS(Calcoli!$D$7:$D$21,Calcoli!$A$7:$A$21,C406),INDEX($T$5:$T$1004,P406)))</f>
        <v/>
      </c>
      <c r="S406" t="str">
        <f>IF(N406="","",IF(B406="Acquisto",Q406+N(D406),MAX(0,Q406-N(D406))))</f>
        <v/>
      </c>
      <c r="T406" t="str">
        <f>IF(N406="","",IF(B406="Acquisto",R406+J406+N(G406),IF(Q406&lt;=0,0,R406*(1-MIN(1,N(D406)/Q406)))))</f>
        <v/>
      </c>
      <c r="U406" t="str">
        <f>IF(B406&lt;&gt;"Vendita","",J406-N(G406)-IF(Q406&lt;=0,0,R406*MIN(1,N(D406)/Q406)))</f>
        <v/>
      </c>
      <c r="V406" t="str">
        <f>IF(B406&lt;&gt;"Dividendo","",IF(Calcoli!$B$251=1,J406,L406))</f>
        <v/>
      </c>
      <c r="W406" t="str">
        <f>IF(AND(V406&lt;&gt;"",ISNUMBER(A406)),A406,"")</f>
        <v/>
      </c>
    </row>
    <row r="407">
      <c r="A407" s="134" t="n"/>
      <c r="B407" s="116" t="n"/>
      <c r="C407" s="116" t="n"/>
      <c r="D407" s="121" t="n"/>
      <c r="E407" s="120" t="n"/>
      <c r="F407" s="120" t="n"/>
      <c r="G407" s="120" t="n"/>
      <c r="H407" s="120" t="n"/>
      <c r="I407" s="117" t="n"/>
      <c r="J407" s="123" t="str">
        <f>IF(B407="","",IF(F407&lt;&gt;"",N(F407),ROUND(N(D407)*N(E407),2)))</f>
        <v/>
      </c>
      <c r="K407" s="123" t="str">
        <f>IF(B407="","",IF(H407&lt;&gt;"",N(H407),IF(B407="Dividendo",ROUND(J407*IFERROR(INDEX(Calcoli!$V$7:$V$21,MATCH(C407,Calcoli!$A$7:$A$21,0)),0.26),2),IF(B407="Vendita",ROUND(MAX(0,U407)*IFERROR(INDEX(Calcoli!$V$7:$V$21,MATCH(C407,Calcoli!$A$7:$A$21,0)),0.26),2),0))))</f>
        <v/>
      </c>
      <c r="L407" s="135" t="str">
        <f>IF(B407="","",IF(B407="Acquisto",-(J407+N(G407)),J407-N(G407)-K407))</f>
        <v/>
      </c>
      <c r="M407" s="127" t="str">
        <f>IF(B407="","",IF(ISNA(MATCH(C407,ETF!$A$7:$A$21,0)),"ETF?",IF(NOT(ISNUMBER(A407)),"Data?",IF(AND(B407&lt;&gt;"Dividendo",N(D407)&lt;=0),"Quote?",IF(AND(B407="Vendita",N(D407)&gt;N(Q407)+0.000001),"Quote?",IF(J407&lt;=0,"Importo?","✓"))))))</f>
        <v/>
      </c>
      <c r="N407" t="str">
        <f>IF(OR(B407="Acquisto",B407="Vendita"),COUNTIFS($C$5:C407,C407,$B$5:B407,"Acquisto")+COUNTIFS($C$5:C407,C407,$B$5:B407,"Vendita"),"")</f>
        <v/>
      </c>
      <c r="O407" t="str">
        <f>IF(N407="","",C407&amp;"|"&amp;N407)</f>
        <v/>
      </c>
      <c r="P407" t="str">
        <f>IF(N407="","",IF(N407=1,0,MATCH(C407&amp;"|"&amp;(N407-1),$O$5:$O$1004,0)))</f>
        <v/>
      </c>
      <c r="Q407" t="str">
        <f>IF(N407="","",IF(P407=0,SUMIFS(Calcoli!$C$7:$C$21,Calcoli!$A$7:$A$21,C407),INDEX($S$5:$S$1004,P407)))</f>
        <v/>
      </c>
      <c r="R407" t="str">
        <f>IF(N407="","",IF(P407=0,SUMIFS(Calcoli!$D$7:$D$21,Calcoli!$A$7:$A$21,C407),INDEX($T$5:$T$1004,P407)))</f>
        <v/>
      </c>
      <c r="S407" t="str">
        <f>IF(N407="","",IF(B407="Acquisto",Q407+N(D407),MAX(0,Q407-N(D407))))</f>
        <v/>
      </c>
      <c r="T407" t="str">
        <f>IF(N407="","",IF(B407="Acquisto",R407+J407+N(G407),IF(Q407&lt;=0,0,R407*(1-MIN(1,N(D407)/Q407)))))</f>
        <v/>
      </c>
      <c r="U407" t="str">
        <f>IF(B407&lt;&gt;"Vendita","",J407-N(G407)-IF(Q407&lt;=0,0,R407*MIN(1,N(D407)/Q407)))</f>
        <v/>
      </c>
      <c r="V407" t="str">
        <f>IF(B407&lt;&gt;"Dividendo","",IF(Calcoli!$B$251=1,J407,L407))</f>
        <v/>
      </c>
      <c r="W407" t="str">
        <f>IF(AND(V407&lt;&gt;"",ISNUMBER(A407)),A407,"")</f>
        <v/>
      </c>
    </row>
    <row r="408">
      <c r="A408" s="134" t="n"/>
      <c r="B408" s="116" t="n"/>
      <c r="C408" s="116" t="n"/>
      <c r="D408" s="121" t="n"/>
      <c r="E408" s="120" t="n"/>
      <c r="F408" s="120" t="n"/>
      <c r="G408" s="120" t="n"/>
      <c r="H408" s="120" t="n"/>
      <c r="I408" s="117" t="n"/>
      <c r="J408" s="123" t="str">
        <f>IF(B408="","",IF(F408&lt;&gt;"",N(F408),ROUND(N(D408)*N(E408),2)))</f>
        <v/>
      </c>
      <c r="K408" s="123" t="str">
        <f>IF(B408="","",IF(H408&lt;&gt;"",N(H408),IF(B408="Dividendo",ROUND(J408*IFERROR(INDEX(Calcoli!$V$7:$V$21,MATCH(C408,Calcoli!$A$7:$A$21,0)),0.26),2),IF(B408="Vendita",ROUND(MAX(0,U408)*IFERROR(INDEX(Calcoli!$V$7:$V$21,MATCH(C408,Calcoli!$A$7:$A$21,0)),0.26),2),0))))</f>
        <v/>
      </c>
      <c r="L408" s="135" t="str">
        <f>IF(B408="","",IF(B408="Acquisto",-(J408+N(G408)),J408-N(G408)-K408))</f>
        <v/>
      </c>
      <c r="M408" s="127" t="str">
        <f>IF(B408="","",IF(ISNA(MATCH(C408,ETF!$A$7:$A$21,0)),"ETF?",IF(NOT(ISNUMBER(A408)),"Data?",IF(AND(B408&lt;&gt;"Dividendo",N(D408)&lt;=0),"Quote?",IF(AND(B408="Vendita",N(D408)&gt;N(Q408)+0.000001),"Quote?",IF(J408&lt;=0,"Importo?","✓"))))))</f>
        <v/>
      </c>
      <c r="N408" t="str">
        <f>IF(OR(B408="Acquisto",B408="Vendita"),COUNTIFS($C$5:C408,C408,$B$5:B408,"Acquisto")+COUNTIFS($C$5:C408,C408,$B$5:B408,"Vendita"),"")</f>
        <v/>
      </c>
      <c r="O408" t="str">
        <f>IF(N408="","",C408&amp;"|"&amp;N408)</f>
        <v/>
      </c>
      <c r="P408" t="str">
        <f>IF(N408="","",IF(N408=1,0,MATCH(C408&amp;"|"&amp;(N408-1),$O$5:$O$1004,0)))</f>
        <v/>
      </c>
      <c r="Q408" t="str">
        <f>IF(N408="","",IF(P408=0,SUMIFS(Calcoli!$C$7:$C$21,Calcoli!$A$7:$A$21,C408),INDEX($S$5:$S$1004,P408)))</f>
        <v/>
      </c>
      <c r="R408" t="str">
        <f>IF(N408="","",IF(P408=0,SUMIFS(Calcoli!$D$7:$D$21,Calcoli!$A$7:$A$21,C408),INDEX($T$5:$T$1004,P408)))</f>
        <v/>
      </c>
      <c r="S408" t="str">
        <f>IF(N408="","",IF(B408="Acquisto",Q408+N(D408),MAX(0,Q408-N(D408))))</f>
        <v/>
      </c>
      <c r="T408" t="str">
        <f>IF(N408="","",IF(B408="Acquisto",R408+J408+N(G408),IF(Q408&lt;=0,0,R408*(1-MIN(1,N(D408)/Q408)))))</f>
        <v/>
      </c>
      <c r="U408" t="str">
        <f>IF(B408&lt;&gt;"Vendita","",J408-N(G408)-IF(Q408&lt;=0,0,R408*MIN(1,N(D408)/Q408)))</f>
        <v/>
      </c>
      <c r="V408" t="str">
        <f>IF(B408&lt;&gt;"Dividendo","",IF(Calcoli!$B$251=1,J408,L408))</f>
        <v/>
      </c>
      <c r="W408" t="str">
        <f>IF(AND(V408&lt;&gt;"",ISNUMBER(A408)),A408,"")</f>
        <v/>
      </c>
    </row>
    <row r="409">
      <c r="A409" s="134" t="n"/>
      <c r="B409" s="116" t="n"/>
      <c r="C409" s="116" t="n"/>
      <c r="D409" s="121" t="n"/>
      <c r="E409" s="120" t="n"/>
      <c r="F409" s="120" t="n"/>
      <c r="G409" s="120" t="n"/>
      <c r="H409" s="120" t="n"/>
      <c r="I409" s="117" t="n"/>
      <c r="J409" s="123" t="str">
        <f>IF(B409="","",IF(F409&lt;&gt;"",N(F409),ROUND(N(D409)*N(E409),2)))</f>
        <v/>
      </c>
      <c r="K409" s="123" t="str">
        <f>IF(B409="","",IF(H409&lt;&gt;"",N(H409),IF(B409="Dividendo",ROUND(J409*IFERROR(INDEX(Calcoli!$V$7:$V$21,MATCH(C409,Calcoli!$A$7:$A$21,0)),0.26),2),IF(B409="Vendita",ROUND(MAX(0,U409)*IFERROR(INDEX(Calcoli!$V$7:$V$21,MATCH(C409,Calcoli!$A$7:$A$21,0)),0.26),2),0))))</f>
        <v/>
      </c>
      <c r="L409" s="135" t="str">
        <f>IF(B409="","",IF(B409="Acquisto",-(J409+N(G409)),J409-N(G409)-K409))</f>
        <v/>
      </c>
      <c r="M409" s="127" t="str">
        <f>IF(B409="","",IF(ISNA(MATCH(C409,ETF!$A$7:$A$21,0)),"ETF?",IF(NOT(ISNUMBER(A409)),"Data?",IF(AND(B409&lt;&gt;"Dividendo",N(D409)&lt;=0),"Quote?",IF(AND(B409="Vendita",N(D409)&gt;N(Q409)+0.000001),"Quote?",IF(J409&lt;=0,"Importo?","✓"))))))</f>
        <v/>
      </c>
      <c r="N409" t="str">
        <f>IF(OR(B409="Acquisto",B409="Vendita"),COUNTIFS($C$5:C409,C409,$B$5:B409,"Acquisto")+COUNTIFS($C$5:C409,C409,$B$5:B409,"Vendita"),"")</f>
        <v/>
      </c>
      <c r="O409" t="str">
        <f>IF(N409="","",C409&amp;"|"&amp;N409)</f>
        <v/>
      </c>
      <c r="P409" t="str">
        <f>IF(N409="","",IF(N409=1,0,MATCH(C409&amp;"|"&amp;(N409-1),$O$5:$O$1004,0)))</f>
        <v/>
      </c>
      <c r="Q409" t="str">
        <f>IF(N409="","",IF(P409=0,SUMIFS(Calcoli!$C$7:$C$21,Calcoli!$A$7:$A$21,C409),INDEX($S$5:$S$1004,P409)))</f>
        <v/>
      </c>
      <c r="R409" t="str">
        <f>IF(N409="","",IF(P409=0,SUMIFS(Calcoli!$D$7:$D$21,Calcoli!$A$7:$A$21,C409),INDEX($T$5:$T$1004,P409)))</f>
        <v/>
      </c>
      <c r="S409" t="str">
        <f>IF(N409="","",IF(B409="Acquisto",Q409+N(D409),MAX(0,Q409-N(D409))))</f>
        <v/>
      </c>
      <c r="T409" t="str">
        <f>IF(N409="","",IF(B409="Acquisto",R409+J409+N(G409),IF(Q409&lt;=0,0,R409*(1-MIN(1,N(D409)/Q409)))))</f>
        <v/>
      </c>
      <c r="U409" t="str">
        <f>IF(B409&lt;&gt;"Vendita","",J409-N(G409)-IF(Q409&lt;=0,0,R409*MIN(1,N(D409)/Q409)))</f>
        <v/>
      </c>
      <c r="V409" t="str">
        <f>IF(B409&lt;&gt;"Dividendo","",IF(Calcoli!$B$251=1,J409,L409))</f>
        <v/>
      </c>
      <c r="W409" t="str">
        <f>IF(AND(V409&lt;&gt;"",ISNUMBER(A409)),A409,"")</f>
        <v/>
      </c>
    </row>
    <row r="410">
      <c r="A410" s="134" t="n"/>
      <c r="B410" s="116" t="n"/>
      <c r="C410" s="116" t="n"/>
      <c r="D410" s="121" t="n"/>
      <c r="E410" s="120" t="n"/>
      <c r="F410" s="120" t="n"/>
      <c r="G410" s="120" t="n"/>
      <c r="H410" s="120" t="n"/>
      <c r="I410" s="117" t="n"/>
      <c r="J410" s="123" t="str">
        <f>IF(B410="","",IF(F410&lt;&gt;"",N(F410),ROUND(N(D410)*N(E410),2)))</f>
        <v/>
      </c>
      <c r="K410" s="123" t="str">
        <f>IF(B410="","",IF(H410&lt;&gt;"",N(H410),IF(B410="Dividendo",ROUND(J410*IFERROR(INDEX(Calcoli!$V$7:$V$21,MATCH(C410,Calcoli!$A$7:$A$21,0)),0.26),2),IF(B410="Vendita",ROUND(MAX(0,U410)*IFERROR(INDEX(Calcoli!$V$7:$V$21,MATCH(C410,Calcoli!$A$7:$A$21,0)),0.26),2),0))))</f>
        <v/>
      </c>
      <c r="L410" s="135" t="str">
        <f>IF(B410="","",IF(B410="Acquisto",-(J410+N(G410)),J410-N(G410)-K410))</f>
        <v/>
      </c>
      <c r="M410" s="127" t="str">
        <f>IF(B410="","",IF(ISNA(MATCH(C410,ETF!$A$7:$A$21,0)),"ETF?",IF(NOT(ISNUMBER(A410)),"Data?",IF(AND(B410&lt;&gt;"Dividendo",N(D410)&lt;=0),"Quote?",IF(AND(B410="Vendita",N(D410)&gt;N(Q410)+0.000001),"Quote?",IF(J410&lt;=0,"Importo?","✓"))))))</f>
        <v/>
      </c>
      <c r="N410" t="str">
        <f>IF(OR(B410="Acquisto",B410="Vendita"),COUNTIFS($C$5:C410,C410,$B$5:B410,"Acquisto")+COUNTIFS($C$5:C410,C410,$B$5:B410,"Vendita"),"")</f>
        <v/>
      </c>
      <c r="O410" t="str">
        <f>IF(N410="","",C410&amp;"|"&amp;N410)</f>
        <v/>
      </c>
      <c r="P410" t="str">
        <f>IF(N410="","",IF(N410=1,0,MATCH(C410&amp;"|"&amp;(N410-1),$O$5:$O$1004,0)))</f>
        <v/>
      </c>
      <c r="Q410" t="str">
        <f>IF(N410="","",IF(P410=0,SUMIFS(Calcoli!$C$7:$C$21,Calcoli!$A$7:$A$21,C410),INDEX($S$5:$S$1004,P410)))</f>
        <v/>
      </c>
      <c r="R410" t="str">
        <f>IF(N410="","",IF(P410=0,SUMIFS(Calcoli!$D$7:$D$21,Calcoli!$A$7:$A$21,C410),INDEX($T$5:$T$1004,P410)))</f>
        <v/>
      </c>
      <c r="S410" t="str">
        <f>IF(N410="","",IF(B410="Acquisto",Q410+N(D410),MAX(0,Q410-N(D410))))</f>
        <v/>
      </c>
      <c r="T410" t="str">
        <f>IF(N410="","",IF(B410="Acquisto",R410+J410+N(G410),IF(Q410&lt;=0,0,R410*(1-MIN(1,N(D410)/Q410)))))</f>
        <v/>
      </c>
      <c r="U410" t="str">
        <f>IF(B410&lt;&gt;"Vendita","",J410-N(G410)-IF(Q410&lt;=0,0,R410*MIN(1,N(D410)/Q410)))</f>
        <v/>
      </c>
      <c r="V410" t="str">
        <f>IF(B410&lt;&gt;"Dividendo","",IF(Calcoli!$B$251=1,J410,L410))</f>
        <v/>
      </c>
      <c r="W410" t="str">
        <f>IF(AND(V410&lt;&gt;"",ISNUMBER(A410)),A410,"")</f>
        <v/>
      </c>
    </row>
    <row r="411">
      <c r="A411" s="134" t="n"/>
      <c r="B411" s="116" t="n"/>
      <c r="C411" s="116" t="n"/>
      <c r="D411" s="121" t="n"/>
      <c r="E411" s="120" t="n"/>
      <c r="F411" s="120" t="n"/>
      <c r="G411" s="120" t="n"/>
      <c r="H411" s="120" t="n"/>
      <c r="I411" s="117" t="n"/>
      <c r="J411" s="123" t="str">
        <f>IF(B411="","",IF(F411&lt;&gt;"",N(F411),ROUND(N(D411)*N(E411),2)))</f>
        <v/>
      </c>
      <c r="K411" s="123" t="str">
        <f>IF(B411="","",IF(H411&lt;&gt;"",N(H411),IF(B411="Dividendo",ROUND(J411*IFERROR(INDEX(Calcoli!$V$7:$V$21,MATCH(C411,Calcoli!$A$7:$A$21,0)),0.26),2),IF(B411="Vendita",ROUND(MAX(0,U411)*IFERROR(INDEX(Calcoli!$V$7:$V$21,MATCH(C411,Calcoli!$A$7:$A$21,0)),0.26),2),0))))</f>
        <v/>
      </c>
      <c r="L411" s="135" t="str">
        <f>IF(B411="","",IF(B411="Acquisto",-(J411+N(G411)),J411-N(G411)-K411))</f>
        <v/>
      </c>
      <c r="M411" s="127" t="str">
        <f>IF(B411="","",IF(ISNA(MATCH(C411,ETF!$A$7:$A$21,0)),"ETF?",IF(NOT(ISNUMBER(A411)),"Data?",IF(AND(B411&lt;&gt;"Dividendo",N(D411)&lt;=0),"Quote?",IF(AND(B411="Vendita",N(D411)&gt;N(Q411)+0.000001),"Quote?",IF(J411&lt;=0,"Importo?","✓"))))))</f>
        <v/>
      </c>
      <c r="N411" t="str">
        <f>IF(OR(B411="Acquisto",B411="Vendita"),COUNTIFS($C$5:C411,C411,$B$5:B411,"Acquisto")+COUNTIFS($C$5:C411,C411,$B$5:B411,"Vendita"),"")</f>
        <v/>
      </c>
      <c r="O411" t="str">
        <f>IF(N411="","",C411&amp;"|"&amp;N411)</f>
        <v/>
      </c>
      <c r="P411" t="str">
        <f>IF(N411="","",IF(N411=1,0,MATCH(C411&amp;"|"&amp;(N411-1),$O$5:$O$1004,0)))</f>
        <v/>
      </c>
      <c r="Q411" t="str">
        <f>IF(N411="","",IF(P411=0,SUMIFS(Calcoli!$C$7:$C$21,Calcoli!$A$7:$A$21,C411),INDEX($S$5:$S$1004,P411)))</f>
        <v/>
      </c>
      <c r="R411" t="str">
        <f>IF(N411="","",IF(P411=0,SUMIFS(Calcoli!$D$7:$D$21,Calcoli!$A$7:$A$21,C411),INDEX($T$5:$T$1004,P411)))</f>
        <v/>
      </c>
      <c r="S411" t="str">
        <f>IF(N411="","",IF(B411="Acquisto",Q411+N(D411),MAX(0,Q411-N(D411))))</f>
        <v/>
      </c>
      <c r="T411" t="str">
        <f>IF(N411="","",IF(B411="Acquisto",R411+J411+N(G411),IF(Q411&lt;=0,0,R411*(1-MIN(1,N(D411)/Q411)))))</f>
        <v/>
      </c>
      <c r="U411" t="str">
        <f>IF(B411&lt;&gt;"Vendita","",J411-N(G411)-IF(Q411&lt;=0,0,R411*MIN(1,N(D411)/Q411)))</f>
        <v/>
      </c>
      <c r="V411" t="str">
        <f>IF(B411&lt;&gt;"Dividendo","",IF(Calcoli!$B$251=1,J411,L411))</f>
        <v/>
      </c>
      <c r="W411" t="str">
        <f>IF(AND(V411&lt;&gt;"",ISNUMBER(A411)),A411,"")</f>
        <v/>
      </c>
    </row>
    <row r="412">
      <c r="A412" s="134" t="n"/>
      <c r="B412" s="116" t="n"/>
      <c r="C412" s="116" t="n"/>
      <c r="D412" s="121" t="n"/>
      <c r="E412" s="120" t="n"/>
      <c r="F412" s="120" t="n"/>
      <c r="G412" s="120" t="n"/>
      <c r="H412" s="120" t="n"/>
      <c r="I412" s="117" t="n"/>
      <c r="J412" s="123" t="str">
        <f>IF(B412="","",IF(F412&lt;&gt;"",N(F412),ROUND(N(D412)*N(E412),2)))</f>
        <v/>
      </c>
      <c r="K412" s="123" t="str">
        <f>IF(B412="","",IF(H412&lt;&gt;"",N(H412),IF(B412="Dividendo",ROUND(J412*IFERROR(INDEX(Calcoli!$V$7:$V$21,MATCH(C412,Calcoli!$A$7:$A$21,0)),0.26),2),IF(B412="Vendita",ROUND(MAX(0,U412)*IFERROR(INDEX(Calcoli!$V$7:$V$21,MATCH(C412,Calcoli!$A$7:$A$21,0)),0.26),2),0))))</f>
        <v/>
      </c>
      <c r="L412" s="135" t="str">
        <f>IF(B412="","",IF(B412="Acquisto",-(J412+N(G412)),J412-N(G412)-K412))</f>
        <v/>
      </c>
      <c r="M412" s="127" t="str">
        <f>IF(B412="","",IF(ISNA(MATCH(C412,ETF!$A$7:$A$21,0)),"ETF?",IF(NOT(ISNUMBER(A412)),"Data?",IF(AND(B412&lt;&gt;"Dividendo",N(D412)&lt;=0),"Quote?",IF(AND(B412="Vendita",N(D412)&gt;N(Q412)+0.000001),"Quote?",IF(J412&lt;=0,"Importo?","✓"))))))</f>
        <v/>
      </c>
      <c r="N412" t="str">
        <f>IF(OR(B412="Acquisto",B412="Vendita"),COUNTIFS($C$5:C412,C412,$B$5:B412,"Acquisto")+COUNTIFS($C$5:C412,C412,$B$5:B412,"Vendita"),"")</f>
        <v/>
      </c>
      <c r="O412" t="str">
        <f>IF(N412="","",C412&amp;"|"&amp;N412)</f>
        <v/>
      </c>
      <c r="P412" t="str">
        <f>IF(N412="","",IF(N412=1,0,MATCH(C412&amp;"|"&amp;(N412-1),$O$5:$O$1004,0)))</f>
        <v/>
      </c>
      <c r="Q412" t="str">
        <f>IF(N412="","",IF(P412=0,SUMIFS(Calcoli!$C$7:$C$21,Calcoli!$A$7:$A$21,C412),INDEX($S$5:$S$1004,P412)))</f>
        <v/>
      </c>
      <c r="R412" t="str">
        <f>IF(N412="","",IF(P412=0,SUMIFS(Calcoli!$D$7:$D$21,Calcoli!$A$7:$A$21,C412),INDEX($T$5:$T$1004,P412)))</f>
        <v/>
      </c>
      <c r="S412" t="str">
        <f>IF(N412="","",IF(B412="Acquisto",Q412+N(D412),MAX(0,Q412-N(D412))))</f>
        <v/>
      </c>
      <c r="T412" t="str">
        <f>IF(N412="","",IF(B412="Acquisto",R412+J412+N(G412),IF(Q412&lt;=0,0,R412*(1-MIN(1,N(D412)/Q412)))))</f>
        <v/>
      </c>
      <c r="U412" t="str">
        <f>IF(B412&lt;&gt;"Vendita","",J412-N(G412)-IF(Q412&lt;=0,0,R412*MIN(1,N(D412)/Q412)))</f>
        <v/>
      </c>
      <c r="V412" t="str">
        <f>IF(B412&lt;&gt;"Dividendo","",IF(Calcoli!$B$251=1,J412,L412))</f>
        <v/>
      </c>
      <c r="W412" t="str">
        <f>IF(AND(V412&lt;&gt;"",ISNUMBER(A412)),A412,"")</f>
        <v/>
      </c>
    </row>
    <row r="413">
      <c r="A413" s="134" t="n"/>
      <c r="B413" s="116" t="n"/>
      <c r="C413" s="116" t="n"/>
      <c r="D413" s="121" t="n"/>
      <c r="E413" s="120" t="n"/>
      <c r="F413" s="120" t="n"/>
      <c r="G413" s="120" t="n"/>
      <c r="H413" s="120" t="n"/>
      <c r="I413" s="117" t="n"/>
      <c r="J413" s="123" t="str">
        <f>IF(B413="","",IF(F413&lt;&gt;"",N(F413),ROUND(N(D413)*N(E413),2)))</f>
        <v/>
      </c>
      <c r="K413" s="123" t="str">
        <f>IF(B413="","",IF(H413&lt;&gt;"",N(H413),IF(B413="Dividendo",ROUND(J413*IFERROR(INDEX(Calcoli!$V$7:$V$21,MATCH(C413,Calcoli!$A$7:$A$21,0)),0.26),2),IF(B413="Vendita",ROUND(MAX(0,U413)*IFERROR(INDEX(Calcoli!$V$7:$V$21,MATCH(C413,Calcoli!$A$7:$A$21,0)),0.26),2),0))))</f>
        <v/>
      </c>
      <c r="L413" s="135" t="str">
        <f>IF(B413="","",IF(B413="Acquisto",-(J413+N(G413)),J413-N(G413)-K413))</f>
        <v/>
      </c>
      <c r="M413" s="127" t="str">
        <f>IF(B413="","",IF(ISNA(MATCH(C413,ETF!$A$7:$A$21,0)),"ETF?",IF(NOT(ISNUMBER(A413)),"Data?",IF(AND(B413&lt;&gt;"Dividendo",N(D413)&lt;=0),"Quote?",IF(AND(B413="Vendita",N(D413)&gt;N(Q413)+0.000001),"Quote?",IF(J413&lt;=0,"Importo?","✓"))))))</f>
        <v/>
      </c>
      <c r="N413" t="str">
        <f>IF(OR(B413="Acquisto",B413="Vendita"),COUNTIFS($C$5:C413,C413,$B$5:B413,"Acquisto")+COUNTIFS($C$5:C413,C413,$B$5:B413,"Vendita"),"")</f>
        <v/>
      </c>
      <c r="O413" t="str">
        <f>IF(N413="","",C413&amp;"|"&amp;N413)</f>
        <v/>
      </c>
      <c r="P413" t="str">
        <f>IF(N413="","",IF(N413=1,0,MATCH(C413&amp;"|"&amp;(N413-1),$O$5:$O$1004,0)))</f>
        <v/>
      </c>
      <c r="Q413" t="str">
        <f>IF(N413="","",IF(P413=0,SUMIFS(Calcoli!$C$7:$C$21,Calcoli!$A$7:$A$21,C413),INDEX($S$5:$S$1004,P413)))</f>
        <v/>
      </c>
      <c r="R413" t="str">
        <f>IF(N413="","",IF(P413=0,SUMIFS(Calcoli!$D$7:$D$21,Calcoli!$A$7:$A$21,C413),INDEX($T$5:$T$1004,P413)))</f>
        <v/>
      </c>
      <c r="S413" t="str">
        <f>IF(N413="","",IF(B413="Acquisto",Q413+N(D413),MAX(0,Q413-N(D413))))</f>
        <v/>
      </c>
      <c r="T413" t="str">
        <f>IF(N413="","",IF(B413="Acquisto",R413+J413+N(G413),IF(Q413&lt;=0,0,R413*(1-MIN(1,N(D413)/Q413)))))</f>
        <v/>
      </c>
      <c r="U413" t="str">
        <f>IF(B413&lt;&gt;"Vendita","",J413-N(G413)-IF(Q413&lt;=0,0,R413*MIN(1,N(D413)/Q413)))</f>
        <v/>
      </c>
      <c r="V413" t="str">
        <f>IF(B413&lt;&gt;"Dividendo","",IF(Calcoli!$B$251=1,J413,L413))</f>
        <v/>
      </c>
      <c r="W413" t="str">
        <f>IF(AND(V413&lt;&gt;"",ISNUMBER(A413)),A413,"")</f>
        <v/>
      </c>
    </row>
    <row r="414">
      <c r="A414" s="134" t="n"/>
      <c r="B414" s="116" t="n"/>
      <c r="C414" s="116" t="n"/>
      <c r="D414" s="121" t="n"/>
      <c r="E414" s="120" t="n"/>
      <c r="F414" s="120" t="n"/>
      <c r="G414" s="120" t="n"/>
      <c r="H414" s="120" t="n"/>
      <c r="I414" s="117" t="n"/>
      <c r="J414" s="123" t="str">
        <f>IF(B414="","",IF(F414&lt;&gt;"",N(F414),ROUND(N(D414)*N(E414),2)))</f>
        <v/>
      </c>
      <c r="K414" s="123" t="str">
        <f>IF(B414="","",IF(H414&lt;&gt;"",N(H414),IF(B414="Dividendo",ROUND(J414*IFERROR(INDEX(Calcoli!$V$7:$V$21,MATCH(C414,Calcoli!$A$7:$A$21,0)),0.26),2),IF(B414="Vendita",ROUND(MAX(0,U414)*IFERROR(INDEX(Calcoli!$V$7:$V$21,MATCH(C414,Calcoli!$A$7:$A$21,0)),0.26),2),0))))</f>
        <v/>
      </c>
      <c r="L414" s="135" t="str">
        <f>IF(B414="","",IF(B414="Acquisto",-(J414+N(G414)),J414-N(G414)-K414))</f>
        <v/>
      </c>
      <c r="M414" s="127" t="str">
        <f>IF(B414="","",IF(ISNA(MATCH(C414,ETF!$A$7:$A$21,0)),"ETF?",IF(NOT(ISNUMBER(A414)),"Data?",IF(AND(B414&lt;&gt;"Dividendo",N(D414)&lt;=0),"Quote?",IF(AND(B414="Vendita",N(D414)&gt;N(Q414)+0.000001),"Quote?",IF(J414&lt;=0,"Importo?","✓"))))))</f>
        <v/>
      </c>
      <c r="N414" t="str">
        <f>IF(OR(B414="Acquisto",B414="Vendita"),COUNTIFS($C$5:C414,C414,$B$5:B414,"Acquisto")+COUNTIFS($C$5:C414,C414,$B$5:B414,"Vendita"),"")</f>
        <v/>
      </c>
      <c r="O414" t="str">
        <f>IF(N414="","",C414&amp;"|"&amp;N414)</f>
        <v/>
      </c>
      <c r="P414" t="str">
        <f>IF(N414="","",IF(N414=1,0,MATCH(C414&amp;"|"&amp;(N414-1),$O$5:$O$1004,0)))</f>
        <v/>
      </c>
      <c r="Q414" t="str">
        <f>IF(N414="","",IF(P414=0,SUMIFS(Calcoli!$C$7:$C$21,Calcoli!$A$7:$A$21,C414),INDEX($S$5:$S$1004,P414)))</f>
        <v/>
      </c>
      <c r="R414" t="str">
        <f>IF(N414="","",IF(P414=0,SUMIFS(Calcoli!$D$7:$D$21,Calcoli!$A$7:$A$21,C414),INDEX($T$5:$T$1004,P414)))</f>
        <v/>
      </c>
      <c r="S414" t="str">
        <f>IF(N414="","",IF(B414="Acquisto",Q414+N(D414),MAX(0,Q414-N(D414))))</f>
        <v/>
      </c>
      <c r="T414" t="str">
        <f>IF(N414="","",IF(B414="Acquisto",R414+J414+N(G414),IF(Q414&lt;=0,0,R414*(1-MIN(1,N(D414)/Q414)))))</f>
        <v/>
      </c>
      <c r="U414" t="str">
        <f>IF(B414&lt;&gt;"Vendita","",J414-N(G414)-IF(Q414&lt;=0,0,R414*MIN(1,N(D414)/Q414)))</f>
        <v/>
      </c>
      <c r="V414" t="str">
        <f>IF(B414&lt;&gt;"Dividendo","",IF(Calcoli!$B$251=1,J414,L414))</f>
        <v/>
      </c>
      <c r="W414" t="str">
        <f>IF(AND(V414&lt;&gt;"",ISNUMBER(A414)),A414,"")</f>
        <v/>
      </c>
    </row>
    <row r="415">
      <c r="A415" s="134" t="n"/>
      <c r="B415" s="116" t="n"/>
      <c r="C415" s="116" t="n"/>
      <c r="D415" s="121" t="n"/>
      <c r="E415" s="120" t="n"/>
      <c r="F415" s="120" t="n"/>
      <c r="G415" s="120" t="n"/>
      <c r="H415" s="120" t="n"/>
      <c r="I415" s="117" t="n"/>
      <c r="J415" s="123" t="str">
        <f>IF(B415="","",IF(F415&lt;&gt;"",N(F415),ROUND(N(D415)*N(E415),2)))</f>
        <v/>
      </c>
      <c r="K415" s="123" t="str">
        <f>IF(B415="","",IF(H415&lt;&gt;"",N(H415),IF(B415="Dividendo",ROUND(J415*IFERROR(INDEX(Calcoli!$V$7:$V$21,MATCH(C415,Calcoli!$A$7:$A$21,0)),0.26),2),IF(B415="Vendita",ROUND(MAX(0,U415)*IFERROR(INDEX(Calcoli!$V$7:$V$21,MATCH(C415,Calcoli!$A$7:$A$21,0)),0.26),2),0))))</f>
        <v/>
      </c>
      <c r="L415" s="135" t="str">
        <f>IF(B415="","",IF(B415="Acquisto",-(J415+N(G415)),J415-N(G415)-K415))</f>
        <v/>
      </c>
      <c r="M415" s="127" t="str">
        <f>IF(B415="","",IF(ISNA(MATCH(C415,ETF!$A$7:$A$21,0)),"ETF?",IF(NOT(ISNUMBER(A415)),"Data?",IF(AND(B415&lt;&gt;"Dividendo",N(D415)&lt;=0),"Quote?",IF(AND(B415="Vendita",N(D415)&gt;N(Q415)+0.000001),"Quote?",IF(J415&lt;=0,"Importo?","✓"))))))</f>
        <v/>
      </c>
      <c r="N415" t="str">
        <f>IF(OR(B415="Acquisto",B415="Vendita"),COUNTIFS($C$5:C415,C415,$B$5:B415,"Acquisto")+COUNTIFS($C$5:C415,C415,$B$5:B415,"Vendita"),"")</f>
        <v/>
      </c>
      <c r="O415" t="str">
        <f>IF(N415="","",C415&amp;"|"&amp;N415)</f>
        <v/>
      </c>
      <c r="P415" t="str">
        <f>IF(N415="","",IF(N415=1,0,MATCH(C415&amp;"|"&amp;(N415-1),$O$5:$O$1004,0)))</f>
        <v/>
      </c>
      <c r="Q415" t="str">
        <f>IF(N415="","",IF(P415=0,SUMIFS(Calcoli!$C$7:$C$21,Calcoli!$A$7:$A$21,C415),INDEX($S$5:$S$1004,P415)))</f>
        <v/>
      </c>
      <c r="R415" t="str">
        <f>IF(N415="","",IF(P415=0,SUMIFS(Calcoli!$D$7:$D$21,Calcoli!$A$7:$A$21,C415),INDEX($T$5:$T$1004,P415)))</f>
        <v/>
      </c>
      <c r="S415" t="str">
        <f>IF(N415="","",IF(B415="Acquisto",Q415+N(D415),MAX(0,Q415-N(D415))))</f>
        <v/>
      </c>
      <c r="T415" t="str">
        <f>IF(N415="","",IF(B415="Acquisto",R415+J415+N(G415),IF(Q415&lt;=0,0,R415*(1-MIN(1,N(D415)/Q415)))))</f>
        <v/>
      </c>
      <c r="U415" t="str">
        <f>IF(B415&lt;&gt;"Vendita","",J415-N(G415)-IF(Q415&lt;=0,0,R415*MIN(1,N(D415)/Q415)))</f>
        <v/>
      </c>
      <c r="V415" t="str">
        <f>IF(B415&lt;&gt;"Dividendo","",IF(Calcoli!$B$251=1,J415,L415))</f>
        <v/>
      </c>
      <c r="W415" t="str">
        <f>IF(AND(V415&lt;&gt;"",ISNUMBER(A415)),A415,"")</f>
        <v/>
      </c>
    </row>
    <row r="416">
      <c r="A416" s="134" t="n"/>
      <c r="B416" s="116" t="n"/>
      <c r="C416" s="116" t="n"/>
      <c r="D416" s="121" t="n"/>
      <c r="E416" s="120" t="n"/>
      <c r="F416" s="120" t="n"/>
      <c r="G416" s="120" t="n"/>
      <c r="H416" s="120" t="n"/>
      <c r="I416" s="117" t="n"/>
      <c r="J416" s="123" t="str">
        <f>IF(B416="","",IF(F416&lt;&gt;"",N(F416),ROUND(N(D416)*N(E416),2)))</f>
        <v/>
      </c>
      <c r="K416" s="123" t="str">
        <f>IF(B416="","",IF(H416&lt;&gt;"",N(H416),IF(B416="Dividendo",ROUND(J416*IFERROR(INDEX(Calcoli!$V$7:$V$21,MATCH(C416,Calcoli!$A$7:$A$21,0)),0.26),2),IF(B416="Vendita",ROUND(MAX(0,U416)*IFERROR(INDEX(Calcoli!$V$7:$V$21,MATCH(C416,Calcoli!$A$7:$A$21,0)),0.26),2),0))))</f>
        <v/>
      </c>
      <c r="L416" s="135" t="str">
        <f>IF(B416="","",IF(B416="Acquisto",-(J416+N(G416)),J416-N(G416)-K416))</f>
        <v/>
      </c>
      <c r="M416" s="127" t="str">
        <f>IF(B416="","",IF(ISNA(MATCH(C416,ETF!$A$7:$A$21,0)),"ETF?",IF(NOT(ISNUMBER(A416)),"Data?",IF(AND(B416&lt;&gt;"Dividendo",N(D416)&lt;=0),"Quote?",IF(AND(B416="Vendita",N(D416)&gt;N(Q416)+0.000001),"Quote?",IF(J416&lt;=0,"Importo?","✓"))))))</f>
        <v/>
      </c>
      <c r="N416" t="str">
        <f>IF(OR(B416="Acquisto",B416="Vendita"),COUNTIFS($C$5:C416,C416,$B$5:B416,"Acquisto")+COUNTIFS($C$5:C416,C416,$B$5:B416,"Vendita"),"")</f>
        <v/>
      </c>
      <c r="O416" t="str">
        <f>IF(N416="","",C416&amp;"|"&amp;N416)</f>
        <v/>
      </c>
      <c r="P416" t="str">
        <f>IF(N416="","",IF(N416=1,0,MATCH(C416&amp;"|"&amp;(N416-1),$O$5:$O$1004,0)))</f>
        <v/>
      </c>
      <c r="Q416" t="str">
        <f>IF(N416="","",IF(P416=0,SUMIFS(Calcoli!$C$7:$C$21,Calcoli!$A$7:$A$21,C416),INDEX($S$5:$S$1004,P416)))</f>
        <v/>
      </c>
      <c r="R416" t="str">
        <f>IF(N416="","",IF(P416=0,SUMIFS(Calcoli!$D$7:$D$21,Calcoli!$A$7:$A$21,C416),INDEX($T$5:$T$1004,P416)))</f>
        <v/>
      </c>
      <c r="S416" t="str">
        <f>IF(N416="","",IF(B416="Acquisto",Q416+N(D416),MAX(0,Q416-N(D416))))</f>
        <v/>
      </c>
      <c r="T416" t="str">
        <f>IF(N416="","",IF(B416="Acquisto",R416+J416+N(G416),IF(Q416&lt;=0,0,R416*(1-MIN(1,N(D416)/Q416)))))</f>
        <v/>
      </c>
      <c r="U416" t="str">
        <f>IF(B416&lt;&gt;"Vendita","",J416-N(G416)-IF(Q416&lt;=0,0,R416*MIN(1,N(D416)/Q416)))</f>
        <v/>
      </c>
      <c r="V416" t="str">
        <f>IF(B416&lt;&gt;"Dividendo","",IF(Calcoli!$B$251=1,J416,L416))</f>
        <v/>
      </c>
      <c r="W416" t="str">
        <f>IF(AND(V416&lt;&gt;"",ISNUMBER(A416)),A416,"")</f>
        <v/>
      </c>
    </row>
    <row r="417">
      <c r="A417" s="134" t="n"/>
      <c r="B417" s="116" t="n"/>
      <c r="C417" s="116" t="n"/>
      <c r="D417" s="121" t="n"/>
      <c r="E417" s="120" t="n"/>
      <c r="F417" s="120" t="n"/>
      <c r="G417" s="120" t="n"/>
      <c r="H417" s="120" t="n"/>
      <c r="I417" s="117" t="n"/>
      <c r="J417" s="123" t="str">
        <f>IF(B417="","",IF(F417&lt;&gt;"",N(F417),ROUND(N(D417)*N(E417),2)))</f>
        <v/>
      </c>
      <c r="K417" s="123" t="str">
        <f>IF(B417="","",IF(H417&lt;&gt;"",N(H417),IF(B417="Dividendo",ROUND(J417*IFERROR(INDEX(Calcoli!$V$7:$V$21,MATCH(C417,Calcoli!$A$7:$A$21,0)),0.26),2),IF(B417="Vendita",ROUND(MAX(0,U417)*IFERROR(INDEX(Calcoli!$V$7:$V$21,MATCH(C417,Calcoli!$A$7:$A$21,0)),0.26),2),0))))</f>
        <v/>
      </c>
      <c r="L417" s="135" t="str">
        <f>IF(B417="","",IF(B417="Acquisto",-(J417+N(G417)),J417-N(G417)-K417))</f>
        <v/>
      </c>
      <c r="M417" s="127" t="str">
        <f>IF(B417="","",IF(ISNA(MATCH(C417,ETF!$A$7:$A$21,0)),"ETF?",IF(NOT(ISNUMBER(A417)),"Data?",IF(AND(B417&lt;&gt;"Dividendo",N(D417)&lt;=0),"Quote?",IF(AND(B417="Vendita",N(D417)&gt;N(Q417)+0.000001),"Quote?",IF(J417&lt;=0,"Importo?","✓"))))))</f>
        <v/>
      </c>
      <c r="N417" t="str">
        <f>IF(OR(B417="Acquisto",B417="Vendita"),COUNTIFS($C$5:C417,C417,$B$5:B417,"Acquisto")+COUNTIFS($C$5:C417,C417,$B$5:B417,"Vendita"),"")</f>
        <v/>
      </c>
      <c r="O417" t="str">
        <f>IF(N417="","",C417&amp;"|"&amp;N417)</f>
        <v/>
      </c>
      <c r="P417" t="str">
        <f>IF(N417="","",IF(N417=1,0,MATCH(C417&amp;"|"&amp;(N417-1),$O$5:$O$1004,0)))</f>
        <v/>
      </c>
      <c r="Q417" t="str">
        <f>IF(N417="","",IF(P417=0,SUMIFS(Calcoli!$C$7:$C$21,Calcoli!$A$7:$A$21,C417),INDEX($S$5:$S$1004,P417)))</f>
        <v/>
      </c>
      <c r="R417" t="str">
        <f>IF(N417="","",IF(P417=0,SUMIFS(Calcoli!$D$7:$D$21,Calcoli!$A$7:$A$21,C417),INDEX($T$5:$T$1004,P417)))</f>
        <v/>
      </c>
      <c r="S417" t="str">
        <f>IF(N417="","",IF(B417="Acquisto",Q417+N(D417),MAX(0,Q417-N(D417))))</f>
        <v/>
      </c>
      <c r="T417" t="str">
        <f>IF(N417="","",IF(B417="Acquisto",R417+J417+N(G417),IF(Q417&lt;=0,0,R417*(1-MIN(1,N(D417)/Q417)))))</f>
        <v/>
      </c>
      <c r="U417" t="str">
        <f>IF(B417&lt;&gt;"Vendita","",J417-N(G417)-IF(Q417&lt;=0,0,R417*MIN(1,N(D417)/Q417)))</f>
        <v/>
      </c>
      <c r="V417" t="str">
        <f>IF(B417&lt;&gt;"Dividendo","",IF(Calcoli!$B$251=1,J417,L417))</f>
        <v/>
      </c>
      <c r="W417" t="str">
        <f>IF(AND(V417&lt;&gt;"",ISNUMBER(A417)),A417,"")</f>
        <v/>
      </c>
    </row>
    <row r="418">
      <c r="A418" s="134" t="n"/>
      <c r="B418" s="116" t="n"/>
      <c r="C418" s="116" t="n"/>
      <c r="D418" s="121" t="n"/>
      <c r="E418" s="120" t="n"/>
      <c r="F418" s="120" t="n"/>
      <c r="G418" s="120" t="n"/>
      <c r="H418" s="120" t="n"/>
      <c r="I418" s="117" t="n"/>
      <c r="J418" s="123" t="str">
        <f>IF(B418="","",IF(F418&lt;&gt;"",N(F418),ROUND(N(D418)*N(E418),2)))</f>
        <v/>
      </c>
      <c r="K418" s="123" t="str">
        <f>IF(B418="","",IF(H418&lt;&gt;"",N(H418),IF(B418="Dividendo",ROUND(J418*IFERROR(INDEX(Calcoli!$V$7:$V$21,MATCH(C418,Calcoli!$A$7:$A$21,0)),0.26),2),IF(B418="Vendita",ROUND(MAX(0,U418)*IFERROR(INDEX(Calcoli!$V$7:$V$21,MATCH(C418,Calcoli!$A$7:$A$21,0)),0.26),2),0))))</f>
        <v/>
      </c>
      <c r="L418" s="135" t="str">
        <f>IF(B418="","",IF(B418="Acquisto",-(J418+N(G418)),J418-N(G418)-K418))</f>
        <v/>
      </c>
      <c r="M418" s="127" t="str">
        <f>IF(B418="","",IF(ISNA(MATCH(C418,ETF!$A$7:$A$21,0)),"ETF?",IF(NOT(ISNUMBER(A418)),"Data?",IF(AND(B418&lt;&gt;"Dividendo",N(D418)&lt;=0),"Quote?",IF(AND(B418="Vendita",N(D418)&gt;N(Q418)+0.000001),"Quote?",IF(J418&lt;=0,"Importo?","✓"))))))</f>
        <v/>
      </c>
      <c r="N418" t="str">
        <f>IF(OR(B418="Acquisto",B418="Vendita"),COUNTIFS($C$5:C418,C418,$B$5:B418,"Acquisto")+COUNTIFS($C$5:C418,C418,$B$5:B418,"Vendita"),"")</f>
        <v/>
      </c>
      <c r="O418" t="str">
        <f>IF(N418="","",C418&amp;"|"&amp;N418)</f>
        <v/>
      </c>
      <c r="P418" t="str">
        <f>IF(N418="","",IF(N418=1,0,MATCH(C418&amp;"|"&amp;(N418-1),$O$5:$O$1004,0)))</f>
        <v/>
      </c>
      <c r="Q418" t="str">
        <f>IF(N418="","",IF(P418=0,SUMIFS(Calcoli!$C$7:$C$21,Calcoli!$A$7:$A$21,C418),INDEX($S$5:$S$1004,P418)))</f>
        <v/>
      </c>
      <c r="R418" t="str">
        <f>IF(N418="","",IF(P418=0,SUMIFS(Calcoli!$D$7:$D$21,Calcoli!$A$7:$A$21,C418),INDEX($T$5:$T$1004,P418)))</f>
        <v/>
      </c>
      <c r="S418" t="str">
        <f>IF(N418="","",IF(B418="Acquisto",Q418+N(D418),MAX(0,Q418-N(D418))))</f>
        <v/>
      </c>
      <c r="T418" t="str">
        <f>IF(N418="","",IF(B418="Acquisto",R418+J418+N(G418),IF(Q418&lt;=0,0,R418*(1-MIN(1,N(D418)/Q418)))))</f>
        <v/>
      </c>
      <c r="U418" t="str">
        <f>IF(B418&lt;&gt;"Vendita","",J418-N(G418)-IF(Q418&lt;=0,0,R418*MIN(1,N(D418)/Q418)))</f>
        <v/>
      </c>
      <c r="V418" t="str">
        <f>IF(B418&lt;&gt;"Dividendo","",IF(Calcoli!$B$251=1,J418,L418))</f>
        <v/>
      </c>
      <c r="W418" t="str">
        <f>IF(AND(V418&lt;&gt;"",ISNUMBER(A418)),A418,"")</f>
        <v/>
      </c>
    </row>
    <row r="419">
      <c r="A419" s="134" t="n"/>
      <c r="B419" s="116" t="n"/>
      <c r="C419" s="116" t="n"/>
      <c r="D419" s="121" t="n"/>
      <c r="E419" s="120" t="n"/>
      <c r="F419" s="120" t="n"/>
      <c r="G419" s="120" t="n"/>
      <c r="H419" s="120" t="n"/>
      <c r="I419" s="117" t="n"/>
      <c r="J419" s="123" t="str">
        <f>IF(B419="","",IF(F419&lt;&gt;"",N(F419),ROUND(N(D419)*N(E419),2)))</f>
        <v/>
      </c>
      <c r="K419" s="123" t="str">
        <f>IF(B419="","",IF(H419&lt;&gt;"",N(H419),IF(B419="Dividendo",ROUND(J419*IFERROR(INDEX(Calcoli!$V$7:$V$21,MATCH(C419,Calcoli!$A$7:$A$21,0)),0.26),2),IF(B419="Vendita",ROUND(MAX(0,U419)*IFERROR(INDEX(Calcoli!$V$7:$V$21,MATCH(C419,Calcoli!$A$7:$A$21,0)),0.26),2),0))))</f>
        <v/>
      </c>
      <c r="L419" s="135" t="str">
        <f>IF(B419="","",IF(B419="Acquisto",-(J419+N(G419)),J419-N(G419)-K419))</f>
        <v/>
      </c>
      <c r="M419" s="127" t="str">
        <f>IF(B419="","",IF(ISNA(MATCH(C419,ETF!$A$7:$A$21,0)),"ETF?",IF(NOT(ISNUMBER(A419)),"Data?",IF(AND(B419&lt;&gt;"Dividendo",N(D419)&lt;=0),"Quote?",IF(AND(B419="Vendita",N(D419)&gt;N(Q419)+0.000001),"Quote?",IF(J419&lt;=0,"Importo?","✓"))))))</f>
        <v/>
      </c>
      <c r="N419" t="str">
        <f>IF(OR(B419="Acquisto",B419="Vendita"),COUNTIFS($C$5:C419,C419,$B$5:B419,"Acquisto")+COUNTIFS($C$5:C419,C419,$B$5:B419,"Vendita"),"")</f>
        <v/>
      </c>
      <c r="O419" t="str">
        <f>IF(N419="","",C419&amp;"|"&amp;N419)</f>
        <v/>
      </c>
      <c r="P419" t="str">
        <f>IF(N419="","",IF(N419=1,0,MATCH(C419&amp;"|"&amp;(N419-1),$O$5:$O$1004,0)))</f>
        <v/>
      </c>
      <c r="Q419" t="str">
        <f>IF(N419="","",IF(P419=0,SUMIFS(Calcoli!$C$7:$C$21,Calcoli!$A$7:$A$21,C419),INDEX($S$5:$S$1004,P419)))</f>
        <v/>
      </c>
      <c r="R419" t="str">
        <f>IF(N419="","",IF(P419=0,SUMIFS(Calcoli!$D$7:$D$21,Calcoli!$A$7:$A$21,C419),INDEX($T$5:$T$1004,P419)))</f>
        <v/>
      </c>
      <c r="S419" t="str">
        <f>IF(N419="","",IF(B419="Acquisto",Q419+N(D419),MAX(0,Q419-N(D419))))</f>
        <v/>
      </c>
      <c r="T419" t="str">
        <f>IF(N419="","",IF(B419="Acquisto",R419+J419+N(G419),IF(Q419&lt;=0,0,R419*(1-MIN(1,N(D419)/Q419)))))</f>
        <v/>
      </c>
      <c r="U419" t="str">
        <f>IF(B419&lt;&gt;"Vendita","",J419-N(G419)-IF(Q419&lt;=0,0,R419*MIN(1,N(D419)/Q419)))</f>
        <v/>
      </c>
      <c r="V419" t="str">
        <f>IF(B419&lt;&gt;"Dividendo","",IF(Calcoli!$B$251=1,J419,L419))</f>
        <v/>
      </c>
      <c r="W419" t="str">
        <f>IF(AND(V419&lt;&gt;"",ISNUMBER(A419)),A419,"")</f>
        <v/>
      </c>
    </row>
    <row r="420">
      <c r="A420" s="134" t="n"/>
      <c r="B420" s="116" t="n"/>
      <c r="C420" s="116" t="n"/>
      <c r="D420" s="121" t="n"/>
      <c r="E420" s="120" t="n"/>
      <c r="F420" s="120" t="n"/>
      <c r="G420" s="120" t="n"/>
      <c r="H420" s="120" t="n"/>
      <c r="I420" s="117" t="n"/>
      <c r="J420" s="123" t="str">
        <f>IF(B420="","",IF(F420&lt;&gt;"",N(F420),ROUND(N(D420)*N(E420),2)))</f>
        <v/>
      </c>
      <c r="K420" s="123" t="str">
        <f>IF(B420="","",IF(H420&lt;&gt;"",N(H420),IF(B420="Dividendo",ROUND(J420*IFERROR(INDEX(Calcoli!$V$7:$V$21,MATCH(C420,Calcoli!$A$7:$A$21,0)),0.26),2),IF(B420="Vendita",ROUND(MAX(0,U420)*IFERROR(INDEX(Calcoli!$V$7:$V$21,MATCH(C420,Calcoli!$A$7:$A$21,0)),0.26),2),0))))</f>
        <v/>
      </c>
      <c r="L420" s="135" t="str">
        <f>IF(B420="","",IF(B420="Acquisto",-(J420+N(G420)),J420-N(G420)-K420))</f>
        <v/>
      </c>
      <c r="M420" s="127" t="str">
        <f>IF(B420="","",IF(ISNA(MATCH(C420,ETF!$A$7:$A$21,0)),"ETF?",IF(NOT(ISNUMBER(A420)),"Data?",IF(AND(B420&lt;&gt;"Dividendo",N(D420)&lt;=0),"Quote?",IF(AND(B420="Vendita",N(D420)&gt;N(Q420)+0.000001),"Quote?",IF(J420&lt;=0,"Importo?","✓"))))))</f>
        <v/>
      </c>
      <c r="N420" t="str">
        <f>IF(OR(B420="Acquisto",B420="Vendita"),COUNTIFS($C$5:C420,C420,$B$5:B420,"Acquisto")+COUNTIFS($C$5:C420,C420,$B$5:B420,"Vendita"),"")</f>
        <v/>
      </c>
      <c r="O420" t="str">
        <f>IF(N420="","",C420&amp;"|"&amp;N420)</f>
        <v/>
      </c>
      <c r="P420" t="str">
        <f>IF(N420="","",IF(N420=1,0,MATCH(C420&amp;"|"&amp;(N420-1),$O$5:$O$1004,0)))</f>
        <v/>
      </c>
      <c r="Q420" t="str">
        <f>IF(N420="","",IF(P420=0,SUMIFS(Calcoli!$C$7:$C$21,Calcoli!$A$7:$A$21,C420),INDEX($S$5:$S$1004,P420)))</f>
        <v/>
      </c>
      <c r="R420" t="str">
        <f>IF(N420="","",IF(P420=0,SUMIFS(Calcoli!$D$7:$D$21,Calcoli!$A$7:$A$21,C420),INDEX($T$5:$T$1004,P420)))</f>
        <v/>
      </c>
      <c r="S420" t="str">
        <f>IF(N420="","",IF(B420="Acquisto",Q420+N(D420),MAX(0,Q420-N(D420))))</f>
        <v/>
      </c>
      <c r="T420" t="str">
        <f>IF(N420="","",IF(B420="Acquisto",R420+J420+N(G420),IF(Q420&lt;=0,0,R420*(1-MIN(1,N(D420)/Q420)))))</f>
        <v/>
      </c>
      <c r="U420" t="str">
        <f>IF(B420&lt;&gt;"Vendita","",J420-N(G420)-IF(Q420&lt;=0,0,R420*MIN(1,N(D420)/Q420)))</f>
        <v/>
      </c>
      <c r="V420" t="str">
        <f>IF(B420&lt;&gt;"Dividendo","",IF(Calcoli!$B$251=1,J420,L420))</f>
        <v/>
      </c>
      <c r="W420" t="str">
        <f>IF(AND(V420&lt;&gt;"",ISNUMBER(A420)),A420,"")</f>
        <v/>
      </c>
    </row>
    <row r="421">
      <c r="A421" s="134" t="n"/>
      <c r="B421" s="116" t="n"/>
      <c r="C421" s="116" t="n"/>
      <c r="D421" s="121" t="n"/>
      <c r="E421" s="120" t="n"/>
      <c r="F421" s="120" t="n"/>
      <c r="G421" s="120" t="n"/>
      <c r="H421" s="120" t="n"/>
      <c r="I421" s="117" t="n"/>
      <c r="J421" s="123" t="str">
        <f>IF(B421="","",IF(F421&lt;&gt;"",N(F421),ROUND(N(D421)*N(E421),2)))</f>
        <v/>
      </c>
      <c r="K421" s="123" t="str">
        <f>IF(B421="","",IF(H421&lt;&gt;"",N(H421),IF(B421="Dividendo",ROUND(J421*IFERROR(INDEX(Calcoli!$V$7:$V$21,MATCH(C421,Calcoli!$A$7:$A$21,0)),0.26),2),IF(B421="Vendita",ROUND(MAX(0,U421)*IFERROR(INDEX(Calcoli!$V$7:$V$21,MATCH(C421,Calcoli!$A$7:$A$21,0)),0.26),2),0))))</f>
        <v/>
      </c>
      <c r="L421" s="135" t="str">
        <f>IF(B421="","",IF(B421="Acquisto",-(J421+N(G421)),J421-N(G421)-K421))</f>
        <v/>
      </c>
      <c r="M421" s="127" t="str">
        <f>IF(B421="","",IF(ISNA(MATCH(C421,ETF!$A$7:$A$21,0)),"ETF?",IF(NOT(ISNUMBER(A421)),"Data?",IF(AND(B421&lt;&gt;"Dividendo",N(D421)&lt;=0),"Quote?",IF(AND(B421="Vendita",N(D421)&gt;N(Q421)+0.000001),"Quote?",IF(J421&lt;=0,"Importo?","✓"))))))</f>
        <v/>
      </c>
      <c r="N421" t="str">
        <f>IF(OR(B421="Acquisto",B421="Vendita"),COUNTIFS($C$5:C421,C421,$B$5:B421,"Acquisto")+COUNTIFS($C$5:C421,C421,$B$5:B421,"Vendita"),"")</f>
        <v/>
      </c>
      <c r="O421" t="str">
        <f>IF(N421="","",C421&amp;"|"&amp;N421)</f>
        <v/>
      </c>
      <c r="P421" t="str">
        <f>IF(N421="","",IF(N421=1,0,MATCH(C421&amp;"|"&amp;(N421-1),$O$5:$O$1004,0)))</f>
        <v/>
      </c>
      <c r="Q421" t="str">
        <f>IF(N421="","",IF(P421=0,SUMIFS(Calcoli!$C$7:$C$21,Calcoli!$A$7:$A$21,C421),INDEX($S$5:$S$1004,P421)))</f>
        <v/>
      </c>
      <c r="R421" t="str">
        <f>IF(N421="","",IF(P421=0,SUMIFS(Calcoli!$D$7:$D$21,Calcoli!$A$7:$A$21,C421),INDEX($T$5:$T$1004,P421)))</f>
        <v/>
      </c>
      <c r="S421" t="str">
        <f>IF(N421="","",IF(B421="Acquisto",Q421+N(D421),MAX(0,Q421-N(D421))))</f>
        <v/>
      </c>
      <c r="T421" t="str">
        <f>IF(N421="","",IF(B421="Acquisto",R421+J421+N(G421),IF(Q421&lt;=0,0,R421*(1-MIN(1,N(D421)/Q421)))))</f>
        <v/>
      </c>
      <c r="U421" t="str">
        <f>IF(B421&lt;&gt;"Vendita","",J421-N(G421)-IF(Q421&lt;=0,0,R421*MIN(1,N(D421)/Q421)))</f>
        <v/>
      </c>
      <c r="V421" t="str">
        <f>IF(B421&lt;&gt;"Dividendo","",IF(Calcoli!$B$251=1,J421,L421))</f>
        <v/>
      </c>
      <c r="W421" t="str">
        <f>IF(AND(V421&lt;&gt;"",ISNUMBER(A421)),A421,"")</f>
        <v/>
      </c>
    </row>
    <row r="422">
      <c r="A422" s="134" t="n"/>
      <c r="B422" s="116" t="n"/>
      <c r="C422" s="116" t="n"/>
      <c r="D422" s="121" t="n"/>
      <c r="E422" s="120" t="n"/>
      <c r="F422" s="120" t="n"/>
      <c r="G422" s="120" t="n"/>
      <c r="H422" s="120" t="n"/>
      <c r="I422" s="117" t="n"/>
      <c r="J422" s="123" t="str">
        <f>IF(B422="","",IF(F422&lt;&gt;"",N(F422),ROUND(N(D422)*N(E422),2)))</f>
        <v/>
      </c>
      <c r="K422" s="123" t="str">
        <f>IF(B422="","",IF(H422&lt;&gt;"",N(H422),IF(B422="Dividendo",ROUND(J422*IFERROR(INDEX(Calcoli!$V$7:$V$21,MATCH(C422,Calcoli!$A$7:$A$21,0)),0.26),2),IF(B422="Vendita",ROUND(MAX(0,U422)*IFERROR(INDEX(Calcoli!$V$7:$V$21,MATCH(C422,Calcoli!$A$7:$A$21,0)),0.26),2),0))))</f>
        <v/>
      </c>
      <c r="L422" s="135" t="str">
        <f>IF(B422="","",IF(B422="Acquisto",-(J422+N(G422)),J422-N(G422)-K422))</f>
        <v/>
      </c>
      <c r="M422" s="127" t="str">
        <f>IF(B422="","",IF(ISNA(MATCH(C422,ETF!$A$7:$A$21,0)),"ETF?",IF(NOT(ISNUMBER(A422)),"Data?",IF(AND(B422&lt;&gt;"Dividendo",N(D422)&lt;=0),"Quote?",IF(AND(B422="Vendita",N(D422)&gt;N(Q422)+0.000001),"Quote?",IF(J422&lt;=0,"Importo?","✓"))))))</f>
        <v/>
      </c>
      <c r="N422" t="str">
        <f>IF(OR(B422="Acquisto",B422="Vendita"),COUNTIFS($C$5:C422,C422,$B$5:B422,"Acquisto")+COUNTIFS($C$5:C422,C422,$B$5:B422,"Vendita"),"")</f>
        <v/>
      </c>
      <c r="O422" t="str">
        <f>IF(N422="","",C422&amp;"|"&amp;N422)</f>
        <v/>
      </c>
      <c r="P422" t="str">
        <f>IF(N422="","",IF(N422=1,0,MATCH(C422&amp;"|"&amp;(N422-1),$O$5:$O$1004,0)))</f>
        <v/>
      </c>
      <c r="Q422" t="str">
        <f>IF(N422="","",IF(P422=0,SUMIFS(Calcoli!$C$7:$C$21,Calcoli!$A$7:$A$21,C422),INDEX($S$5:$S$1004,P422)))</f>
        <v/>
      </c>
      <c r="R422" t="str">
        <f>IF(N422="","",IF(P422=0,SUMIFS(Calcoli!$D$7:$D$21,Calcoli!$A$7:$A$21,C422),INDEX($T$5:$T$1004,P422)))</f>
        <v/>
      </c>
      <c r="S422" t="str">
        <f>IF(N422="","",IF(B422="Acquisto",Q422+N(D422),MAX(0,Q422-N(D422))))</f>
        <v/>
      </c>
      <c r="T422" t="str">
        <f>IF(N422="","",IF(B422="Acquisto",R422+J422+N(G422),IF(Q422&lt;=0,0,R422*(1-MIN(1,N(D422)/Q422)))))</f>
        <v/>
      </c>
      <c r="U422" t="str">
        <f>IF(B422&lt;&gt;"Vendita","",J422-N(G422)-IF(Q422&lt;=0,0,R422*MIN(1,N(D422)/Q422)))</f>
        <v/>
      </c>
      <c r="V422" t="str">
        <f>IF(B422&lt;&gt;"Dividendo","",IF(Calcoli!$B$251=1,J422,L422))</f>
        <v/>
      </c>
      <c r="W422" t="str">
        <f>IF(AND(V422&lt;&gt;"",ISNUMBER(A422)),A422,"")</f>
        <v/>
      </c>
    </row>
    <row r="423">
      <c r="A423" s="134" t="n"/>
      <c r="B423" s="116" t="n"/>
      <c r="C423" s="116" t="n"/>
      <c r="D423" s="121" t="n"/>
      <c r="E423" s="120" t="n"/>
      <c r="F423" s="120" t="n"/>
      <c r="G423" s="120" t="n"/>
      <c r="H423" s="120" t="n"/>
      <c r="I423" s="117" t="n"/>
      <c r="J423" s="123" t="str">
        <f>IF(B423="","",IF(F423&lt;&gt;"",N(F423),ROUND(N(D423)*N(E423),2)))</f>
        <v/>
      </c>
      <c r="K423" s="123" t="str">
        <f>IF(B423="","",IF(H423&lt;&gt;"",N(H423),IF(B423="Dividendo",ROUND(J423*IFERROR(INDEX(Calcoli!$V$7:$V$21,MATCH(C423,Calcoli!$A$7:$A$21,0)),0.26),2),IF(B423="Vendita",ROUND(MAX(0,U423)*IFERROR(INDEX(Calcoli!$V$7:$V$21,MATCH(C423,Calcoli!$A$7:$A$21,0)),0.26),2),0))))</f>
        <v/>
      </c>
      <c r="L423" s="135" t="str">
        <f>IF(B423="","",IF(B423="Acquisto",-(J423+N(G423)),J423-N(G423)-K423))</f>
        <v/>
      </c>
      <c r="M423" s="127" t="str">
        <f>IF(B423="","",IF(ISNA(MATCH(C423,ETF!$A$7:$A$21,0)),"ETF?",IF(NOT(ISNUMBER(A423)),"Data?",IF(AND(B423&lt;&gt;"Dividendo",N(D423)&lt;=0),"Quote?",IF(AND(B423="Vendita",N(D423)&gt;N(Q423)+0.000001),"Quote?",IF(J423&lt;=0,"Importo?","✓"))))))</f>
        <v/>
      </c>
      <c r="N423" t="str">
        <f>IF(OR(B423="Acquisto",B423="Vendita"),COUNTIFS($C$5:C423,C423,$B$5:B423,"Acquisto")+COUNTIFS($C$5:C423,C423,$B$5:B423,"Vendita"),"")</f>
        <v/>
      </c>
      <c r="O423" t="str">
        <f>IF(N423="","",C423&amp;"|"&amp;N423)</f>
        <v/>
      </c>
      <c r="P423" t="str">
        <f>IF(N423="","",IF(N423=1,0,MATCH(C423&amp;"|"&amp;(N423-1),$O$5:$O$1004,0)))</f>
        <v/>
      </c>
      <c r="Q423" t="str">
        <f>IF(N423="","",IF(P423=0,SUMIFS(Calcoli!$C$7:$C$21,Calcoli!$A$7:$A$21,C423),INDEX($S$5:$S$1004,P423)))</f>
        <v/>
      </c>
      <c r="R423" t="str">
        <f>IF(N423="","",IF(P423=0,SUMIFS(Calcoli!$D$7:$D$21,Calcoli!$A$7:$A$21,C423),INDEX($T$5:$T$1004,P423)))</f>
        <v/>
      </c>
      <c r="S423" t="str">
        <f>IF(N423="","",IF(B423="Acquisto",Q423+N(D423),MAX(0,Q423-N(D423))))</f>
        <v/>
      </c>
      <c r="T423" t="str">
        <f>IF(N423="","",IF(B423="Acquisto",R423+J423+N(G423),IF(Q423&lt;=0,0,R423*(1-MIN(1,N(D423)/Q423)))))</f>
        <v/>
      </c>
      <c r="U423" t="str">
        <f>IF(B423&lt;&gt;"Vendita","",J423-N(G423)-IF(Q423&lt;=0,0,R423*MIN(1,N(D423)/Q423)))</f>
        <v/>
      </c>
      <c r="V423" t="str">
        <f>IF(B423&lt;&gt;"Dividendo","",IF(Calcoli!$B$251=1,J423,L423))</f>
        <v/>
      </c>
      <c r="W423" t="str">
        <f>IF(AND(V423&lt;&gt;"",ISNUMBER(A423)),A423,"")</f>
        <v/>
      </c>
    </row>
    <row r="424">
      <c r="A424" s="134" t="n"/>
      <c r="B424" s="116" t="n"/>
      <c r="C424" s="116" t="n"/>
      <c r="D424" s="121" t="n"/>
      <c r="E424" s="120" t="n"/>
      <c r="F424" s="120" t="n"/>
      <c r="G424" s="120" t="n"/>
      <c r="H424" s="120" t="n"/>
      <c r="I424" s="117" t="n"/>
      <c r="J424" s="123" t="str">
        <f>IF(B424="","",IF(F424&lt;&gt;"",N(F424),ROUND(N(D424)*N(E424),2)))</f>
        <v/>
      </c>
      <c r="K424" s="123" t="str">
        <f>IF(B424="","",IF(H424&lt;&gt;"",N(H424),IF(B424="Dividendo",ROUND(J424*IFERROR(INDEX(Calcoli!$V$7:$V$21,MATCH(C424,Calcoli!$A$7:$A$21,0)),0.26),2),IF(B424="Vendita",ROUND(MAX(0,U424)*IFERROR(INDEX(Calcoli!$V$7:$V$21,MATCH(C424,Calcoli!$A$7:$A$21,0)),0.26),2),0))))</f>
        <v/>
      </c>
      <c r="L424" s="135" t="str">
        <f>IF(B424="","",IF(B424="Acquisto",-(J424+N(G424)),J424-N(G424)-K424))</f>
        <v/>
      </c>
      <c r="M424" s="127" t="str">
        <f>IF(B424="","",IF(ISNA(MATCH(C424,ETF!$A$7:$A$21,0)),"ETF?",IF(NOT(ISNUMBER(A424)),"Data?",IF(AND(B424&lt;&gt;"Dividendo",N(D424)&lt;=0),"Quote?",IF(AND(B424="Vendita",N(D424)&gt;N(Q424)+0.000001),"Quote?",IF(J424&lt;=0,"Importo?","✓"))))))</f>
        <v/>
      </c>
      <c r="N424" t="str">
        <f>IF(OR(B424="Acquisto",B424="Vendita"),COUNTIFS($C$5:C424,C424,$B$5:B424,"Acquisto")+COUNTIFS($C$5:C424,C424,$B$5:B424,"Vendita"),"")</f>
        <v/>
      </c>
      <c r="O424" t="str">
        <f>IF(N424="","",C424&amp;"|"&amp;N424)</f>
        <v/>
      </c>
      <c r="P424" t="str">
        <f>IF(N424="","",IF(N424=1,0,MATCH(C424&amp;"|"&amp;(N424-1),$O$5:$O$1004,0)))</f>
        <v/>
      </c>
      <c r="Q424" t="str">
        <f>IF(N424="","",IF(P424=0,SUMIFS(Calcoli!$C$7:$C$21,Calcoli!$A$7:$A$21,C424),INDEX($S$5:$S$1004,P424)))</f>
        <v/>
      </c>
      <c r="R424" t="str">
        <f>IF(N424="","",IF(P424=0,SUMIFS(Calcoli!$D$7:$D$21,Calcoli!$A$7:$A$21,C424),INDEX($T$5:$T$1004,P424)))</f>
        <v/>
      </c>
      <c r="S424" t="str">
        <f>IF(N424="","",IF(B424="Acquisto",Q424+N(D424),MAX(0,Q424-N(D424))))</f>
        <v/>
      </c>
      <c r="T424" t="str">
        <f>IF(N424="","",IF(B424="Acquisto",R424+J424+N(G424),IF(Q424&lt;=0,0,R424*(1-MIN(1,N(D424)/Q424)))))</f>
        <v/>
      </c>
      <c r="U424" t="str">
        <f>IF(B424&lt;&gt;"Vendita","",J424-N(G424)-IF(Q424&lt;=0,0,R424*MIN(1,N(D424)/Q424)))</f>
        <v/>
      </c>
      <c r="V424" t="str">
        <f>IF(B424&lt;&gt;"Dividendo","",IF(Calcoli!$B$251=1,J424,L424))</f>
        <v/>
      </c>
      <c r="W424" t="str">
        <f>IF(AND(V424&lt;&gt;"",ISNUMBER(A424)),A424,"")</f>
        <v/>
      </c>
    </row>
    <row r="425">
      <c r="A425" s="134" t="n"/>
      <c r="B425" s="116" t="n"/>
      <c r="C425" s="116" t="n"/>
      <c r="D425" s="121" t="n"/>
      <c r="E425" s="120" t="n"/>
      <c r="F425" s="120" t="n"/>
      <c r="G425" s="120" t="n"/>
      <c r="H425" s="120" t="n"/>
      <c r="I425" s="117" t="n"/>
      <c r="J425" s="123" t="str">
        <f>IF(B425="","",IF(F425&lt;&gt;"",N(F425),ROUND(N(D425)*N(E425),2)))</f>
        <v/>
      </c>
      <c r="K425" s="123" t="str">
        <f>IF(B425="","",IF(H425&lt;&gt;"",N(H425),IF(B425="Dividendo",ROUND(J425*IFERROR(INDEX(Calcoli!$V$7:$V$21,MATCH(C425,Calcoli!$A$7:$A$21,0)),0.26),2),IF(B425="Vendita",ROUND(MAX(0,U425)*IFERROR(INDEX(Calcoli!$V$7:$V$21,MATCH(C425,Calcoli!$A$7:$A$21,0)),0.26),2),0))))</f>
        <v/>
      </c>
      <c r="L425" s="135" t="str">
        <f>IF(B425="","",IF(B425="Acquisto",-(J425+N(G425)),J425-N(G425)-K425))</f>
        <v/>
      </c>
      <c r="M425" s="127" t="str">
        <f>IF(B425="","",IF(ISNA(MATCH(C425,ETF!$A$7:$A$21,0)),"ETF?",IF(NOT(ISNUMBER(A425)),"Data?",IF(AND(B425&lt;&gt;"Dividendo",N(D425)&lt;=0),"Quote?",IF(AND(B425="Vendita",N(D425)&gt;N(Q425)+0.000001),"Quote?",IF(J425&lt;=0,"Importo?","✓"))))))</f>
        <v/>
      </c>
      <c r="N425" t="str">
        <f>IF(OR(B425="Acquisto",B425="Vendita"),COUNTIFS($C$5:C425,C425,$B$5:B425,"Acquisto")+COUNTIFS($C$5:C425,C425,$B$5:B425,"Vendita"),"")</f>
        <v/>
      </c>
      <c r="O425" t="str">
        <f>IF(N425="","",C425&amp;"|"&amp;N425)</f>
        <v/>
      </c>
      <c r="P425" t="str">
        <f>IF(N425="","",IF(N425=1,0,MATCH(C425&amp;"|"&amp;(N425-1),$O$5:$O$1004,0)))</f>
        <v/>
      </c>
      <c r="Q425" t="str">
        <f>IF(N425="","",IF(P425=0,SUMIFS(Calcoli!$C$7:$C$21,Calcoli!$A$7:$A$21,C425),INDEX($S$5:$S$1004,P425)))</f>
        <v/>
      </c>
      <c r="R425" t="str">
        <f>IF(N425="","",IF(P425=0,SUMIFS(Calcoli!$D$7:$D$21,Calcoli!$A$7:$A$21,C425),INDEX($T$5:$T$1004,P425)))</f>
        <v/>
      </c>
      <c r="S425" t="str">
        <f>IF(N425="","",IF(B425="Acquisto",Q425+N(D425),MAX(0,Q425-N(D425))))</f>
        <v/>
      </c>
      <c r="T425" t="str">
        <f>IF(N425="","",IF(B425="Acquisto",R425+J425+N(G425),IF(Q425&lt;=0,0,R425*(1-MIN(1,N(D425)/Q425)))))</f>
        <v/>
      </c>
      <c r="U425" t="str">
        <f>IF(B425&lt;&gt;"Vendita","",J425-N(G425)-IF(Q425&lt;=0,0,R425*MIN(1,N(D425)/Q425)))</f>
        <v/>
      </c>
      <c r="V425" t="str">
        <f>IF(B425&lt;&gt;"Dividendo","",IF(Calcoli!$B$251=1,J425,L425))</f>
        <v/>
      </c>
      <c r="W425" t="str">
        <f>IF(AND(V425&lt;&gt;"",ISNUMBER(A425)),A425,"")</f>
        <v/>
      </c>
    </row>
    <row r="426">
      <c r="A426" s="134" t="n"/>
      <c r="B426" s="116" t="n"/>
      <c r="C426" s="116" t="n"/>
      <c r="D426" s="121" t="n"/>
      <c r="E426" s="120" t="n"/>
      <c r="F426" s="120" t="n"/>
      <c r="G426" s="120" t="n"/>
      <c r="H426" s="120" t="n"/>
      <c r="I426" s="117" t="n"/>
      <c r="J426" s="123" t="str">
        <f>IF(B426="","",IF(F426&lt;&gt;"",N(F426),ROUND(N(D426)*N(E426),2)))</f>
        <v/>
      </c>
      <c r="K426" s="123" t="str">
        <f>IF(B426="","",IF(H426&lt;&gt;"",N(H426),IF(B426="Dividendo",ROUND(J426*IFERROR(INDEX(Calcoli!$V$7:$V$21,MATCH(C426,Calcoli!$A$7:$A$21,0)),0.26),2),IF(B426="Vendita",ROUND(MAX(0,U426)*IFERROR(INDEX(Calcoli!$V$7:$V$21,MATCH(C426,Calcoli!$A$7:$A$21,0)),0.26),2),0))))</f>
        <v/>
      </c>
      <c r="L426" s="135" t="str">
        <f>IF(B426="","",IF(B426="Acquisto",-(J426+N(G426)),J426-N(G426)-K426))</f>
        <v/>
      </c>
      <c r="M426" s="127" t="str">
        <f>IF(B426="","",IF(ISNA(MATCH(C426,ETF!$A$7:$A$21,0)),"ETF?",IF(NOT(ISNUMBER(A426)),"Data?",IF(AND(B426&lt;&gt;"Dividendo",N(D426)&lt;=0),"Quote?",IF(AND(B426="Vendita",N(D426)&gt;N(Q426)+0.000001),"Quote?",IF(J426&lt;=0,"Importo?","✓"))))))</f>
        <v/>
      </c>
      <c r="N426" t="str">
        <f>IF(OR(B426="Acquisto",B426="Vendita"),COUNTIFS($C$5:C426,C426,$B$5:B426,"Acquisto")+COUNTIFS($C$5:C426,C426,$B$5:B426,"Vendita"),"")</f>
        <v/>
      </c>
      <c r="O426" t="str">
        <f>IF(N426="","",C426&amp;"|"&amp;N426)</f>
        <v/>
      </c>
      <c r="P426" t="str">
        <f>IF(N426="","",IF(N426=1,0,MATCH(C426&amp;"|"&amp;(N426-1),$O$5:$O$1004,0)))</f>
        <v/>
      </c>
      <c r="Q426" t="str">
        <f>IF(N426="","",IF(P426=0,SUMIFS(Calcoli!$C$7:$C$21,Calcoli!$A$7:$A$21,C426),INDEX($S$5:$S$1004,P426)))</f>
        <v/>
      </c>
      <c r="R426" t="str">
        <f>IF(N426="","",IF(P426=0,SUMIFS(Calcoli!$D$7:$D$21,Calcoli!$A$7:$A$21,C426),INDEX($T$5:$T$1004,P426)))</f>
        <v/>
      </c>
      <c r="S426" t="str">
        <f>IF(N426="","",IF(B426="Acquisto",Q426+N(D426),MAX(0,Q426-N(D426))))</f>
        <v/>
      </c>
      <c r="T426" t="str">
        <f>IF(N426="","",IF(B426="Acquisto",R426+J426+N(G426),IF(Q426&lt;=0,0,R426*(1-MIN(1,N(D426)/Q426)))))</f>
        <v/>
      </c>
      <c r="U426" t="str">
        <f>IF(B426&lt;&gt;"Vendita","",J426-N(G426)-IF(Q426&lt;=0,0,R426*MIN(1,N(D426)/Q426)))</f>
        <v/>
      </c>
      <c r="V426" t="str">
        <f>IF(B426&lt;&gt;"Dividendo","",IF(Calcoli!$B$251=1,J426,L426))</f>
        <v/>
      </c>
      <c r="W426" t="str">
        <f>IF(AND(V426&lt;&gt;"",ISNUMBER(A426)),A426,"")</f>
        <v/>
      </c>
    </row>
    <row r="427">
      <c r="A427" s="134" t="n"/>
      <c r="B427" s="116" t="n"/>
      <c r="C427" s="116" t="n"/>
      <c r="D427" s="121" t="n"/>
      <c r="E427" s="120" t="n"/>
      <c r="F427" s="120" t="n"/>
      <c r="G427" s="120" t="n"/>
      <c r="H427" s="120" t="n"/>
      <c r="I427" s="117" t="n"/>
      <c r="J427" s="123" t="str">
        <f>IF(B427="","",IF(F427&lt;&gt;"",N(F427),ROUND(N(D427)*N(E427),2)))</f>
        <v/>
      </c>
      <c r="K427" s="123" t="str">
        <f>IF(B427="","",IF(H427&lt;&gt;"",N(H427),IF(B427="Dividendo",ROUND(J427*IFERROR(INDEX(Calcoli!$V$7:$V$21,MATCH(C427,Calcoli!$A$7:$A$21,0)),0.26),2),IF(B427="Vendita",ROUND(MAX(0,U427)*IFERROR(INDEX(Calcoli!$V$7:$V$21,MATCH(C427,Calcoli!$A$7:$A$21,0)),0.26),2),0))))</f>
        <v/>
      </c>
      <c r="L427" s="135" t="str">
        <f>IF(B427="","",IF(B427="Acquisto",-(J427+N(G427)),J427-N(G427)-K427))</f>
        <v/>
      </c>
      <c r="M427" s="127" t="str">
        <f>IF(B427="","",IF(ISNA(MATCH(C427,ETF!$A$7:$A$21,0)),"ETF?",IF(NOT(ISNUMBER(A427)),"Data?",IF(AND(B427&lt;&gt;"Dividendo",N(D427)&lt;=0),"Quote?",IF(AND(B427="Vendita",N(D427)&gt;N(Q427)+0.000001),"Quote?",IF(J427&lt;=0,"Importo?","✓"))))))</f>
        <v/>
      </c>
      <c r="N427" t="str">
        <f>IF(OR(B427="Acquisto",B427="Vendita"),COUNTIFS($C$5:C427,C427,$B$5:B427,"Acquisto")+COUNTIFS($C$5:C427,C427,$B$5:B427,"Vendita"),"")</f>
        <v/>
      </c>
      <c r="O427" t="str">
        <f>IF(N427="","",C427&amp;"|"&amp;N427)</f>
        <v/>
      </c>
      <c r="P427" t="str">
        <f>IF(N427="","",IF(N427=1,0,MATCH(C427&amp;"|"&amp;(N427-1),$O$5:$O$1004,0)))</f>
        <v/>
      </c>
      <c r="Q427" t="str">
        <f>IF(N427="","",IF(P427=0,SUMIFS(Calcoli!$C$7:$C$21,Calcoli!$A$7:$A$21,C427),INDEX($S$5:$S$1004,P427)))</f>
        <v/>
      </c>
      <c r="R427" t="str">
        <f>IF(N427="","",IF(P427=0,SUMIFS(Calcoli!$D$7:$D$21,Calcoli!$A$7:$A$21,C427),INDEX($T$5:$T$1004,P427)))</f>
        <v/>
      </c>
      <c r="S427" t="str">
        <f>IF(N427="","",IF(B427="Acquisto",Q427+N(D427),MAX(0,Q427-N(D427))))</f>
        <v/>
      </c>
      <c r="T427" t="str">
        <f>IF(N427="","",IF(B427="Acquisto",R427+J427+N(G427),IF(Q427&lt;=0,0,R427*(1-MIN(1,N(D427)/Q427)))))</f>
        <v/>
      </c>
      <c r="U427" t="str">
        <f>IF(B427&lt;&gt;"Vendita","",J427-N(G427)-IF(Q427&lt;=0,0,R427*MIN(1,N(D427)/Q427)))</f>
        <v/>
      </c>
      <c r="V427" t="str">
        <f>IF(B427&lt;&gt;"Dividendo","",IF(Calcoli!$B$251=1,J427,L427))</f>
        <v/>
      </c>
      <c r="W427" t="str">
        <f>IF(AND(V427&lt;&gt;"",ISNUMBER(A427)),A427,"")</f>
        <v/>
      </c>
    </row>
    <row r="428">
      <c r="A428" s="134" t="n"/>
      <c r="B428" s="116" t="n"/>
      <c r="C428" s="116" t="n"/>
      <c r="D428" s="121" t="n"/>
      <c r="E428" s="120" t="n"/>
      <c r="F428" s="120" t="n"/>
      <c r="G428" s="120" t="n"/>
      <c r="H428" s="120" t="n"/>
      <c r="I428" s="117" t="n"/>
      <c r="J428" s="123" t="str">
        <f>IF(B428="","",IF(F428&lt;&gt;"",N(F428),ROUND(N(D428)*N(E428),2)))</f>
        <v/>
      </c>
      <c r="K428" s="123" t="str">
        <f>IF(B428="","",IF(H428&lt;&gt;"",N(H428),IF(B428="Dividendo",ROUND(J428*IFERROR(INDEX(Calcoli!$V$7:$V$21,MATCH(C428,Calcoli!$A$7:$A$21,0)),0.26),2),IF(B428="Vendita",ROUND(MAX(0,U428)*IFERROR(INDEX(Calcoli!$V$7:$V$21,MATCH(C428,Calcoli!$A$7:$A$21,0)),0.26),2),0))))</f>
        <v/>
      </c>
      <c r="L428" s="135" t="str">
        <f>IF(B428="","",IF(B428="Acquisto",-(J428+N(G428)),J428-N(G428)-K428))</f>
        <v/>
      </c>
      <c r="M428" s="127" t="str">
        <f>IF(B428="","",IF(ISNA(MATCH(C428,ETF!$A$7:$A$21,0)),"ETF?",IF(NOT(ISNUMBER(A428)),"Data?",IF(AND(B428&lt;&gt;"Dividendo",N(D428)&lt;=0),"Quote?",IF(AND(B428="Vendita",N(D428)&gt;N(Q428)+0.000001),"Quote?",IF(J428&lt;=0,"Importo?","✓"))))))</f>
        <v/>
      </c>
      <c r="N428" t="str">
        <f>IF(OR(B428="Acquisto",B428="Vendita"),COUNTIFS($C$5:C428,C428,$B$5:B428,"Acquisto")+COUNTIFS($C$5:C428,C428,$B$5:B428,"Vendita"),"")</f>
        <v/>
      </c>
      <c r="O428" t="str">
        <f>IF(N428="","",C428&amp;"|"&amp;N428)</f>
        <v/>
      </c>
      <c r="P428" t="str">
        <f>IF(N428="","",IF(N428=1,0,MATCH(C428&amp;"|"&amp;(N428-1),$O$5:$O$1004,0)))</f>
        <v/>
      </c>
      <c r="Q428" t="str">
        <f>IF(N428="","",IF(P428=0,SUMIFS(Calcoli!$C$7:$C$21,Calcoli!$A$7:$A$21,C428),INDEX($S$5:$S$1004,P428)))</f>
        <v/>
      </c>
      <c r="R428" t="str">
        <f>IF(N428="","",IF(P428=0,SUMIFS(Calcoli!$D$7:$D$21,Calcoli!$A$7:$A$21,C428),INDEX($T$5:$T$1004,P428)))</f>
        <v/>
      </c>
      <c r="S428" t="str">
        <f>IF(N428="","",IF(B428="Acquisto",Q428+N(D428),MAX(0,Q428-N(D428))))</f>
        <v/>
      </c>
      <c r="T428" t="str">
        <f>IF(N428="","",IF(B428="Acquisto",R428+J428+N(G428),IF(Q428&lt;=0,0,R428*(1-MIN(1,N(D428)/Q428)))))</f>
        <v/>
      </c>
      <c r="U428" t="str">
        <f>IF(B428&lt;&gt;"Vendita","",J428-N(G428)-IF(Q428&lt;=0,0,R428*MIN(1,N(D428)/Q428)))</f>
        <v/>
      </c>
      <c r="V428" t="str">
        <f>IF(B428&lt;&gt;"Dividendo","",IF(Calcoli!$B$251=1,J428,L428))</f>
        <v/>
      </c>
      <c r="W428" t="str">
        <f>IF(AND(V428&lt;&gt;"",ISNUMBER(A428)),A428,"")</f>
        <v/>
      </c>
    </row>
    <row r="429">
      <c r="A429" s="134" t="n"/>
      <c r="B429" s="116" t="n"/>
      <c r="C429" s="116" t="n"/>
      <c r="D429" s="121" t="n"/>
      <c r="E429" s="120" t="n"/>
      <c r="F429" s="120" t="n"/>
      <c r="G429" s="120" t="n"/>
      <c r="H429" s="120" t="n"/>
      <c r="I429" s="117" t="n"/>
      <c r="J429" s="123" t="str">
        <f>IF(B429="","",IF(F429&lt;&gt;"",N(F429),ROUND(N(D429)*N(E429),2)))</f>
        <v/>
      </c>
      <c r="K429" s="123" t="str">
        <f>IF(B429="","",IF(H429&lt;&gt;"",N(H429),IF(B429="Dividendo",ROUND(J429*IFERROR(INDEX(Calcoli!$V$7:$V$21,MATCH(C429,Calcoli!$A$7:$A$21,0)),0.26),2),IF(B429="Vendita",ROUND(MAX(0,U429)*IFERROR(INDEX(Calcoli!$V$7:$V$21,MATCH(C429,Calcoli!$A$7:$A$21,0)),0.26),2),0))))</f>
        <v/>
      </c>
      <c r="L429" s="135" t="str">
        <f>IF(B429="","",IF(B429="Acquisto",-(J429+N(G429)),J429-N(G429)-K429))</f>
        <v/>
      </c>
      <c r="M429" s="127" t="str">
        <f>IF(B429="","",IF(ISNA(MATCH(C429,ETF!$A$7:$A$21,0)),"ETF?",IF(NOT(ISNUMBER(A429)),"Data?",IF(AND(B429&lt;&gt;"Dividendo",N(D429)&lt;=0),"Quote?",IF(AND(B429="Vendita",N(D429)&gt;N(Q429)+0.000001),"Quote?",IF(J429&lt;=0,"Importo?","✓"))))))</f>
        <v/>
      </c>
      <c r="N429" t="str">
        <f>IF(OR(B429="Acquisto",B429="Vendita"),COUNTIFS($C$5:C429,C429,$B$5:B429,"Acquisto")+COUNTIFS($C$5:C429,C429,$B$5:B429,"Vendita"),"")</f>
        <v/>
      </c>
      <c r="O429" t="str">
        <f>IF(N429="","",C429&amp;"|"&amp;N429)</f>
        <v/>
      </c>
      <c r="P429" t="str">
        <f>IF(N429="","",IF(N429=1,0,MATCH(C429&amp;"|"&amp;(N429-1),$O$5:$O$1004,0)))</f>
        <v/>
      </c>
      <c r="Q429" t="str">
        <f>IF(N429="","",IF(P429=0,SUMIFS(Calcoli!$C$7:$C$21,Calcoli!$A$7:$A$21,C429),INDEX($S$5:$S$1004,P429)))</f>
        <v/>
      </c>
      <c r="R429" t="str">
        <f>IF(N429="","",IF(P429=0,SUMIFS(Calcoli!$D$7:$D$21,Calcoli!$A$7:$A$21,C429),INDEX($T$5:$T$1004,P429)))</f>
        <v/>
      </c>
      <c r="S429" t="str">
        <f>IF(N429="","",IF(B429="Acquisto",Q429+N(D429),MAX(0,Q429-N(D429))))</f>
        <v/>
      </c>
      <c r="T429" t="str">
        <f>IF(N429="","",IF(B429="Acquisto",R429+J429+N(G429),IF(Q429&lt;=0,0,R429*(1-MIN(1,N(D429)/Q429)))))</f>
        <v/>
      </c>
      <c r="U429" t="str">
        <f>IF(B429&lt;&gt;"Vendita","",J429-N(G429)-IF(Q429&lt;=0,0,R429*MIN(1,N(D429)/Q429)))</f>
        <v/>
      </c>
      <c r="V429" t="str">
        <f>IF(B429&lt;&gt;"Dividendo","",IF(Calcoli!$B$251=1,J429,L429))</f>
        <v/>
      </c>
      <c r="W429" t="str">
        <f>IF(AND(V429&lt;&gt;"",ISNUMBER(A429)),A429,"")</f>
        <v/>
      </c>
    </row>
    <row r="430">
      <c r="A430" s="134" t="n"/>
      <c r="B430" s="116" t="n"/>
      <c r="C430" s="116" t="n"/>
      <c r="D430" s="121" t="n"/>
      <c r="E430" s="120" t="n"/>
      <c r="F430" s="120" t="n"/>
      <c r="G430" s="120" t="n"/>
      <c r="H430" s="120" t="n"/>
      <c r="I430" s="117" t="n"/>
      <c r="J430" s="123" t="str">
        <f>IF(B430="","",IF(F430&lt;&gt;"",N(F430),ROUND(N(D430)*N(E430),2)))</f>
        <v/>
      </c>
      <c r="K430" s="123" t="str">
        <f>IF(B430="","",IF(H430&lt;&gt;"",N(H430),IF(B430="Dividendo",ROUND(J430*IFERROR(INDEX(Calcoli!$V$7:$V$21,MATCH(C430,Calcoli!$A$7:$A$21,0)),0.26),2),IF(B430="Vendita",ROUND(MAX(0,U430)*IFERROR(INDEX(Calcoli!$V$7:$V$21,MATCH(C430,Calcoli!$A$7:$A$21,0)),0.26),2),0))))</f>
        <v/>
      </c>
      <c r="L430" s="135" t="str">
        <f>IF(B430="","",IF(B430="Acquisto",-(J430+N(G430)),J430-N(G430)-K430))</f>
        <v/>
      </c>
      <c r="M430" s="127" t="str">
        <f>IF(B430="","",IF(ISNA(MATCH(C430,ETF!$A$7:$A$21,0)),"ETF?",IF(NOT(ISNUMBER(A430)),"Data?",IF(AND(B430&lt;&gt;"Dividendo",N(D430)&lt;=0),"Quote?",IF(AND(B430="Vendita",N(D430)&gt;N(Q430)+0.000001),"Quote?",IF(J430&lt;=0,"Importo?","✓"))))))</f>
        <v/>
      </c>
      <c r="N430" t="str">
        <f>IF(OR(B430="Acquisto",B430="Vendita"),COUNTIFS($C$5:C430,C430,$B$5:B430,"Acquisto")+COUNTIFS($C$5:C430,C430,$B$5:B430,"Vendita"),"")</f>
        <v/>
      </c>
      <c r="O430" t="str">
        <f>IF(N430="","",C430&amp;"|"&amp;N430)</f>
        <v/>
      </c>
      <c r="P430" t="str">
        <f>IF(N430="","",IF(N430=1,0,MATCH(C430&amp;"|"&amp;(N430-1),$O$5:$O$1004,0)))</f>
        <v/>
      </c>
      <c r="Q430" t="str">
        <f>IF(N430="","",IF(P430=0,SUMIFS(Calcoli!$C$7:$C$21,Calcoli!$A$7:$A$21,C430),INDEX($S$5:$S$1004,P430)))</f>
        <v/>
      </c>
      <c r="R430" t="str">
        <f>IF(N430="","",IF(P430=0,SUMIFS(Calcoli!$D$7:$D$21,Calcoli!$A$7:$A$21,C430),INDEX($T$5:$T$1004,P430)))</f>
        <v/>
      </c>
      <c r="S430" t="str">
        <f>IF(N430="","",IF(B430="Acquisto",Q430+N(D430),MAX(0,Q430-N(D430))))</f>
        <v/>
      </c>
      <c r="T430" t="str">
        <f>IF(N430="","",IF(B430="Acquisto",R430+J430+N(G430),IF(Q430&lt;=0,0,R430*(1-MIN(1,N(D430)/Q430)))))</f>
        <v/>
      </c>
      <c r="U430" t="str">
        <f>IF(B430&lt;&gt;"Vendita","",J430-N(G430)-IF(Q430&lt;=0,0,R430*MIN(1,N(D430)/Q430)))</f>
        <v/>
      </c>
      <c r="V430" t="str">
        <f>IF(B430&lt;&gt;"Dividendo","",IF(Calcoli!$B$251=1,J430,L430))</f>
        <v/>
      </c>
      <c r="W430" t="str">
        <f>IF(AND(V430&lt;&gt;"",ISNUMBER(A430)),A430,"")</f>
        <v/>
      </c>
    </row>
    <row r="431">
      <c r="A431" s="134" t="n"/>
      <c r="B431" s="116" t="n"/>
      <c r="C431" s="116" t="n"/>
      <c r="D431" s="121" t="n"/>
      <c r="E431" s="120" t="n"/>
      <c r="F431" s="120" t="n"/>
      <c r="G431" s="120" t="n"/>
      <c r="H431" s="120" t="n"/>
      <c r="I431" s="117" t="n"/>
      <c r="J431" s="123" t="str">
        <f>IF(B431="","",IF(F431&lt;&gt;"",N(F431),ROUND(N(D431)*N(E431),2)))</f>
        <v/>
      </c>
      <c r="K431" s="123" t="str">
        <f>IF(B431="","",IF(H431&lt;&gt;"",N(H431),IF(B431="Dividendo",ROUND(J431*IFERROR(INDEX(Calcoli!$V$7:$V$21,MATCH(C431,Calcoli!$A$7:$A$21,0)),0.26),2),IF(B431="Vendita",ROUND(MAX(0,U431)*IFERROR(INDEX(Calcoli!$V$7:$V$21,MATCH(C431,Calcoli!$A$7:$A$21,0)),0.26),2),0))))</f>
        <v/>
      </c>
      <c r="L431" s="135" t="str">
        <f>IF(B431="","",IF(B431="Acquisto",-(J431+N(G431)),J431-N(G431)-K431))</f>
        <v/>
      </c>
      <c r="M431" s="127" t="str">
        <f>IF(B431="","",IF(ISNA(MATCH(C431,ETF!$A$7:$A$21,0)),"ETF?",IF(NOT(ISNUMBER(A431)),"Data?",IF(AND(B431&lt;&gt;"Dividendo",N(D431)&lt;=0),"Quote?",IF(AND(B431="Vendita",N(D431)&gt;N(Q431)+0.000001),"Quote?",IF(J431&lt;=0,"Importo?","✓"))))))</f>
        <v/>
      </c>
      <c r="N431" t="str">
        <f>IF(OR(B431="Acquisto",B431="Vendita"),COUNTIFS($C$5:C431,C431,$B$5:B431,"Acquisto")+COUNTIFS($C$5:C431,C431,$B$5:B431,"Vendita"),"")</f>
        <v/>
      </c>
      <c r="O431" t="str">
        <f>IF(N431="","",C431&amp;"|"&amp;N431)</f>
        <v/>
      </c>
      <c r="P431" t="str">
        <f>IF(N431="","",IF(N431=1,0,MATCH(C431&amp;"|"&amp;(N431-1),$O$5:$O$1004,0)))</f>
        <v/>
      </c>
      <c r="Q431" t="str">
        <f>IF(N431="","",IF(P431=0,SUMIFS(Calcoli!$C$7:$C$21,Calcoli!$A$7:$A$21,C431),INDEX($S$5:$S$1004,P431)))</f>
        <v/>
      </c>
      <c r="R431" t="str">
        <f>IF(N431="","",IF(P431=0,SUMIFS(Calcoli!$D$7:$D$21,Calcoli!$A$7:$A$21,C431),INDEX($T$5:$T$1004,P431)))</f>
        <v/>
      </c>
      <c r="S431" t="str">
        <f>IF(N431="","",IF(B431="Acquisto",Q431+N(D431),MAX(0,Q431-N(D431))))</f>
        <v/>
      </c>
      <c r="T431" t="str">
        <f>IF(N431="","",IF(B431="Acquisto",R431+J431+N(G431),IF(Q431&lt;=0,0,R431*(1-MIN(1,N(D431)/Q431)))))</f>
        <v/>
      </c>
      <c r="U431" t="str">
        <f>IF(B431&lt;&gt;"Vendita","",J431-N(G431)-IF(Q431&lt;=0,0,R431*MIN(1,N(D431)/Q431)))</f>
        <v/>
      </c>
      <c r="V431" t="str">
        <f>IF(B431&lt;&gt;"Dividendo","",IF(Calcoli!$B$251=1,J431,L431))</f>
        <v/>
      </c>
      <c r="W431" t="str">
        <f>IF(AND(V431&lt;&gt;"",ISNUMBER(A431)),A431,"")</f>
        <v/>
      </c>
    </row>
    <row r="432">
      <c r="A432" s="134" t="n"/>
      <c r="B432" s="116" t="n"/>
      <c r="C432" s="116" t="n"/>
      <c r="D432" s="121" t="n"/>
      <c r="E432" s="120" t="n"/>
      <c r="F432" s="120" t="n"/>
      <c r="G432" s="120" t="n"/>
      <c r="H432" s="120" t="n"/>
      <c r="I432" s="117" t="n"/>
      <c r="J432" s="123" t="str">
        <f>IF(B432="","",IF(F432&lt;&gt;"",N(F432),ROUND(N(D432)*N(E432),2)))</f>
        <v/>
      </c>
      <c r="K432" s="123" t="str">
        <f>IF(B432="","",IF(H432&lt;&gt;"",N(H432),IF(B432="Dividendo",ROUND(J432*IFERROR(INDEX(Calcoli!$V$7:$V$21,MATCH(C432,Calcoli!$A$7:$A$21,0)),0.26),2),IF(B432="Vendita",ROUND(MAX(0,U432)*IFERROR(INDEX(Calcoli!$V$7:$V$21,MATCH(C432,Calcoli!$A$7:$A$21,0)),0.26),2),0))))</f>
        <v/>
      </c>
      <c r="L432" s="135" t="str">
        <f>IF(B432="","",IF(B432="Acquisto",-(J432+N(G432)),J432-N(G432)-K432))</f>
        <v/>
      </c>
      <c r="M432" s="127" t="str">
        <f>IF(B432="","",IF(ISNA(MATCH(C432,ETF!$A$7:$A$21,0)),"ETF?",IF(NOT(ISNUMBER(A432)),"Data?",IF(AND(B432&lt;&gt;"Dividendo",N(D432)&lt;=0),"Quote?",IF(AND(B432="Vendita",N(D432)&gt;N(Q432)+0.000001),"Quote?",IF(J432&lt;=0,"Importo?","✓"))))))</f>
        <v/>
      </c>
      <c r="N432" t="str">
        <f>IF(OR(B432="Acquisto",B432="Vendita"),COUNTIFS($C$5:C432,C432,$B$5:B432,"Acquisto")+COUNTIFS($C$5:C432,C432,$B$5:B432,"Vendita"),"")</f>
        <v/>
      </c>
      <c r="O432" t="str">
        <f>IF(N432="","",C432&amp;"|"&amp;N432)</f>
        <v/>
      </c>
      <c r="P432" t="str">
        <f>IF(N432="","",IF(N432=1,0,MATCH(C432&amp;"|"&amp;(N432-1),$O$5:$O$1004,0)))</f>
        <v/>
      </c>
      <c r="Q432" t="str">
        <f>IF(N432="","",IF(P432=0,SUMIFS(Calcoli!$C$7:$C$21,Calcoli!$A$7:$A$21,C432),INDEX($S$5:$S$1004,P432)))</f>
        <v/>
      </c>
      <c r="R432" t="str">
        <f>IF(N432="","",IF(P432=0,SUMIFS(Calcoli!$D$7:$D$21,Calcoli!$A$7:$A$21,C432),INDEX($T$5:$T$1004,P432)))</f>
        <v/>
      </c>
      <c r="S432" t="str">
        <f>IF(N432="","",IF(B432="Acquisto",Q432+N(D432),MAX(0,Q432-N(D432))))</f>
        <v/>
      </c>
      <c r="T432" t="str">
        <f>IF(N432="","",IF(B432="Acquisto",R432+J432+N(G432),IF(Q432&lt;=0,0,R432*(1-MIN(1,N(D432)/Q432)))))</f>
        <v/>
      </c>
      <c r="U432" t="str">
        <f>IF(B432&lt;&gt;"Vendita","",J432-N(G432)-IF(Q432&lt;=0,0,R432*MIN(1,N(D432)/Q432)))</f>
        <v/>
      </c>
      <c r="V432" t="str">
        <f>IF(B432&lt;&gt;"Dividendo","",IF(Calcoli!$B$251=1,J432,L432))</f>
        <v/>
      </c>
      <c r="W432" t="str">
        <f>IF(AND(V432&lt;&gt;"",ISNUMBER(A432)),A432,"")</f>
        <v/>
      </c>
    </row>
    <row r="433">
      <c r="A433" s="134" t="n"/>
      <c r="B433" s="116" t="n"/>
      <c r="C433" s="116" t="n"/>
      <c r="D433" s="121" t="n"/>
      <c r="E433" s="120" t="n"/>
      <c r="F433" s="120" t="n"/>
      <c r="G433" s="120" t="n"/>
      <c r="H433" s="120" t="n"/>
      <c r="I433" s="117" t="n"/>
      <c r="J433" s="123" t="str">
        <f>IF(B433="","",IF(F433&lt;&gt;"",N(F433),ROUND(N(D433)*N(E433),2)))</f>
        <v/>
      </c>
      <c r="K433" s="123" t="str">
        <f>IF(B433="","",IF(H433&lt;&gt;"",N(H433),IF(B433="Dividendo",ROUND(J433*IFERROR(INDEX(Calcoli!$V$7:$V$21,MATCH(C433,Calcoli!$A$7:$A$21,0)),0.26),2),IF(B433="Vendita",ROUND(MAX(0,U433)*IFERROR(INDEX(Calcoli!$V$7:$V$21,MATCH(C433,Calcoli!$A$7:$A$21,0)),0.26),2),0))))</f>
        <v/>
      </c>
      <c r="L433" s="135" t="str">
        <f>IF(B433="","",IF(B433="Acquisto",-(J433+N(G433)),J433-N(G433)-K433))</f>
        <v/>
      </c>
      <c r="M433" s="127" t="str">
        <f>IF(B433="","",IF(ISNA(MATCH(C433,ETF!$A$7:$A$21,0)),"ETF?",IF(NOT(ISNUMBER(A433)),"Data?",IF(AND(B433&lt;&gt;"Dividendo",N(D433)&lt;=0),"Quote?",IF(AND(B433="Vendita",N(D433)&gt;N(Q433)+0.000001),"Quote?",IF(J433&lt;=0,"Importo?","✓"))))))</f>
        <v/>
      </c>
      <c r="N433" t="str">
        <f>IF(OR(B433="Acquisto",B433="Vendita"),COUNTIFS($C$5:C433,C433,$B$5:B433,"Acquisto")+COUNTIFS($C$5:C433,C433,$B$5:B433,"Vendita"),"")</f>
        <v/>
      </c>
      <c r="O433" t="str">
        <f>IF(N433="","",C433&amp;"|"&amp;N433)</f>
        <v/>
      </c>
      <c r="P433" t="str">
        <f>IF(N433="","",IF(N433=1,0,MATCH(C433&amp;"|"&amp;(N433-1),$O$5:$O$1004,0)))</f>
        <v/>
      </c>
      <c r="Q433" t="str">
        <f>IF(N433="","",IF(P433=0,SUMIFS(Calcoli!$C$7:$C$21,Calcoli!$A$7:$A$21,C433),INDEX($S$5:$S$1004,P433)))</f>
        <v/>
      </c>
      <c r="R433" t="str">
        <f>IF(N433="","",IF(P433=0,SUMIFS(Calcoli!$D$7:$D$21,Calcoli!$A$7:$A$21,C433),INDEX($T$5:$T$1004,P433)))</f>
        <v/>
      </c>
      <c r="S433" t="str">
        <f>IF(N433="","",IF(B433="Acquisto",Q433+N(D433),MAX(0,Q433-N(D433))))</f>
        <v/>
      </c>
      <c r="T433" t="str">
        <f>IF(N433="","",IF(B433="Acquisto",R433+J433+N(G433),IF(Q433&lt;=0,0,R433*(1-MIN(1,N(D433)/Q433)))))</f>
        <v/>
      </c>
      <c r="U433" t="str">
        <f>IF(B433&lt;&gt;"Vendita","",J433-N(G433)-IF(Q433&lt;=0,0,R433*MIN(1,N(D433)/Q433)))</f>
        <v/>
      </c>
      <c r="V433" t="str">
        <f>IF(B433&lt;&gt;"Dividendo","",IF(Calcoli!$B$251=1,J433,L433))</f>
        <v/>
      </c>
      <c r="W433" t="str">
        <f>IF(AND(V433&lt;&gt;"",ISNUMBER(A433)),A433,"")</f>
        <v/>
      </c>
    </row>
    <row r="434">
      <c r="A434" s="134" t="n"/>
      <c r="B434" s="116" t="n"/>
      <c r="C434" s="116" t="n"/>
      <c r="D434" s="121" t="n"/>
      <c r="E434" s="120" t="n"/>
      <c r="F434" s="120" t="n"/>
      <c r="G434" s="120" t="n"/>
      <c r="H434" s="120" t="n"/>
      <c r="I434" s="117" t="n"/>
      <c r="J434" s="123" t="str">
        <f>IF(B434="","",IF(F434&lt;&gt;"",N(F434),ROUND(N(D434)*N(E434),2)))</f>
        <v/>
      </c>
      <c r="K434" s="123" t="str">
        <f>IF(B434="","",IF(H434&lt;&gt;"",N(H434),IF(B434="Dividendo",ROUND(J434*IFERROR(INDEX(Calcoli!$V$7:$V$21,MATCH(C434,Calcoli!$A$7:$A$21,0)),0.26),2),IF(B434="Vendita",ROUND(MAX(0,U434)*IFERROR(INDEX(Calcoli!$V$7:$V$21,MATCH(C434,Calcoli!$A$7:$A$21,0)),0.26),2),0))))</f>
        <v/>
      </c>
      <c r="L434" s="135" t="str">
        <f>IF(B434="","",IF(B434="Acquisto",-(J434+N(G434)),J434-N(G434)-K434))</f>
        <v/>
      </c>
      <c r="M434" s="127" t="str">
        <f>IF(B434="","",IF(ISNA(MATCH(C434,ETF!$A$7:$A$21,0)),"ETF?",IF(NOT(ISNUMBER(A434)),"Data?",IF(AND(B434&lt;&gt;"Dividendo",N(D434)&lt;=0),"Quote?",IF(AND(B434="Vendita",N(D434)&gt;N(Q434)+0.000001),"Quote?",IF(J434&lt;=0,"Importo?","✓"))))))</f>
        <v/>
      </c>
      <c r="N434" t="str">
        <f>IF(OR(B434="Acquisto",B434="Vendita"),COUNTIFS($C$5:C434,C434,$B$5:B434,"Acquisto")+COUNTIFS($C$5:C434,C434,$B$5:B434,"Vendita"),"")</f>
        <v/>
      </c>
      <c r="O434" t="str">
        <f>IF(N434="","",C434&amp;"|"&amp;N434)</f>
        <v/>
      </c>
      <c r="P434" t="str">
        <f>IF(N434="","",IF(N434=1,0,MATCH(C434&amp;"|"&amp;(N434-1),$O$5:$O$1004,0)))</f>
        <v/>
      </c>
      <c r="Q434" t="str">
        <f>IF(N434="","",IF(P434=0,SUMIFS(Calcoli!$C$7:$C$21,Calcoli!$A$7:$A$21,C434),INDEX($S$5:$S$1004,P434)))</f>
        <v/>
      </c>
      <c r="R434" t="str">
        <f>IF(N434="","",IF(P434=0,SUMIFS(Calcoli!$D$7:$D$21,Calcoli!$A$7:$A$21,C434),INDEX($T$5:$T$1004,P434)))</f>
        <v/>
      </c>
      <c r="S434" t="str">
        <f>IF(N434="","",IF(B434="Acquisto",Q434+N(D434),MAX(0,Q434-N(D434))))</f>
        <v/>
      </c>
      <c r="T434" t="str">
        <f>IF(N434="","",IF(B434="Acquisto",R434+J434+N(G434),IF(Q434&lt;=0,0,R434*(1-MIN(1,N(D434)/Q434)))))</f>
        <v/>
      </c>
      <c r="U434" t="str">
        <f>IF(B434&lt;&gt;"Vendita","",J434-N(G434)-IF(Q434&lt;=0,0,R434*MIN(1,N(D434)/Q434)))</f>
        <v/>
      </c>
      <c r="V434" t="str">
        <f>IF(B434&lt;&gt;"Dividendo","",IF(Calcoli!$B$251=1,J434,L434))</f>
        <v/>
      </c>
      <c r="W434" t="str">
        <f>IF(AND(V434&lt;&gt;"",ISNUMBER(A434)),A434,"")</f>
        <v/>
      </c>
    </row>
    <row r="435">
      <c r="A435" s="134" t="n"/>
      <c r="B435" s="116" t="n"/>
      <c r="C435" s="116" t="n"/>
      <c r="D435" s="121" t="n"/>
      <c r="E435" s="120" t="n"/>
      <c r="F435" s="120" t="n"/>
      <c r="G435" s="120" t="n"/>
      <c r="H435" s="120" t="n"/>
      <c r="I435" s="117" t="n"/>
      <c r="J435" s="123" t="str">
        <f>IF(B435="","",IF(F435&lt;&gt;"",N(F435),ROUND(N(D435)*N(E435),2)))</f>
        <v/>
      </c>
      <c r="K435" s="123" t="str">
        <f>IF(B435="","",IF(H435&lt;&gt;"",N(H435),IF(B435="Dividendo",ROUND(J435*IFERROR(INDEX(Calcoli!$V$7:$V$21,MATCH(C435,Calcoli!$A$7:$A$21,0)),0.26),2),IF(B435="Vendita",ROUND(MAX(0,U435)*IFERROR(INDEX(Calcoli!$V$7:$V$21,MATCH(C435,Calcoli!$A$7:$A$21,0)),0.26),2),0))))</f>
        <v/>
      </c>
      <c r="L435" s="135" t="str">
        <f>IF(B435="","",IF(B435="Acquisto",-(J435+N(G435)),J435-N(G435)-K435))</f>
        <v/>
      </c>
      <c r="M435" s="127" t="str">
        <f>IF(B435="","",IF(ISNA(MATCH(C435,ETF!$A$7:$A$21,0)),"ETF?",IF(NOT(ISNUMBER(A435)),"Data?",IF(AND(B435&lt;&gt;"Dividendo",N(D435)&lt;=0),"Quote?",IF(AND(B435="Vendita",N(D435)&gt;N(Q435)+0.000001),"Quote?",IF(J435&lt;=0,"Importo?","✓"))))))</f>
        <v/>
      </c>
      <c r="N435" t="str">
        <f>IF(OR(B435="Acquisto",B435="Vendita"),COUNTIFS($C$5:C435,C435,$B$5:B435,"Acquisto")+COUNTIFS($C$5:C435,C435,$B$5:B435,"Vendita"),"")</f>
        <v/>
      </c>
      <c r="O435" t="str">
        <f>IF(N435="","",C435&amp;"|"&amp;N435)</f>
        <v/>
      </c>
      <c r="P435" t="str">
        <f>IF(N435="","",IF(N435=1,0,MATCH(C435&amp;"|"&amp;(N435-1),$O$5:$O$1004,0)))</f>
        <v/>
      </c>
      <c r="Q435" t="str">
        <f>IF(N435="","",IF(P435=0,SUMIFS(Calcoli!$C$7:$C$21,Calcoli!$A$7:$A$21,C435),INDEX($S$5:$S$1004,P435)))</f>
        <v/>
      </c>
      <c r="R435" t="str">
        <f>IF(N435="","",IF(P435=0,SUMIFS(Calcoli!$D$7:$D$21,Calcoli!$A$7:$A$21,C435),INDEX($T$5:$T$1004,P435)))</f>
        <v/>
      </c>
      <c r="S435" t="str">
        <f>IF(N435="","",IF(B435="Acquisto",Q435+N(D435),MAX(0,Q435-N(D435))))</f>
        <v/>
      </c>
      <c r="T435" t="str">
        <f>IF(N435="","",IF(B435="Acquisto",R435+J435+N(G435),IF(Q435&lt;=0,0,R435*(1-MIN(1,N(D435)/Q435)))))</f>
        <v/>
      </c>
      <c r="U435" t="str">
        <f>IF(B435&lt;&gt;"Vendita","",J435-N(G435)-IF(Q435&lt;=0,0,R435*MIN(1,N(D435)/Q435)))</f>
        <v/>
      </c>
      <c r="V435" t="str">
        <f>IF(B435&lt;&gt;"Dividendo","",IF(Calcoli!$B$251=1,J435,L435))</f>
        <v/>
      </c>
      <c r="W435" t="str">
        <f>IF(AND(V435&lt;&gt;"",ISNUMBER(A435)),A435,"")</f>
        <v/>
      </c>
    </row>
    <row r="436">
      <c r="A436" s="134" t="n"/>
      <c r="B436" s="116" t="n"/>
      <c r="C436" s="116" t="n"/>
      <c r="D436" s="121" t="n"/>
      <c r="E436" s="120" t="n"/>
      <c r="F436" s="120" t="n"/>
      <c r="G436" s="120" t="n"/>
      <c r="H436" s="120" t="n"/>
      <c r="I436" s="117" t="n"/>
      <c r="J436" s="123" t="str">
        <f>IF(B436="","",IF(F436&lt;&gt;"",N(F436),ROUND(N(D436)*N(E436),2)))</f>
        <v/>
      </c>
      <c r="K436" s="123" t="str">
        <f>IF(B436="","",IF(H436&lt;&gt;"",N(H436),IF(B436="Dividendo",ROUND(J436*IFERROR(INDEX(Calcoli!$V$7:$V$21,MATCH(C436,Calcoli!$A$7:$A$21,0)),0.26),2),IF(B436="Vendita",ROUND(MAX(0,U436)*IFERROR(INDEX(Calcoli!$V$7:$V$21,MATCH(C436,Calcoli!$A$7:$A$21,0)),0.26),2),0))))</f>
        <v/>
      </c>
      <c r="L436" s="135" t="str">
        <f>IF(B436="","",IF(B436="Acquisto",-(J436+N(G436)),J436-N(G436)-K436))</f>
        <v/>
      </c>
      <c r="M436" s="127" t="str">
        <f>IF(B436="","",IF(ISNA(MATCH(C436,ETF!$A$7:$A$21,0)),"ETF?",IF(NOT(ISNUMBER(A436)),"Data?",IF(AND(B436&lt;&gt;"Dividendo",N(D436)&lt;=0),"Quote?",IF(AND(B436="Vendita",N(D436)&gt;N(Q436)+0.000001),"Quote?",IF(J436&lt;=0,"Importo?","✓"))))))</f>
        <v/>
      </c>
      <c r="N436" t="str">
        <f>IF(OR(B436="Acquisto",B436="Vendita"),COUNTIFS($C$5:C436,C436,$B$5:B436,"Acquisto")+COUNTIFS($C$5:C436,C436,$B$5:B436,"Vendita"),"")</f>
        <v/>
      </c>
      <c r="O436" t="str">
        <f>IF(N436="","",C436&amp;"|"&amp;N436)</f>
        <v/>
      </c>
      <c r="P436" t="str">
        <f>IF(N436="","",IF(N436=1,0,MATCH(C436&amp;"|"&amp;(N436-1),$O$5:$O$1004,0)))</f>
        <v/>
      </c>
      <c r="Q436" t="str">
        <f>IF(N436="","",IF(P436=0,SUMIFS(Calcoli!$C$7:$C$21,Calcoli!$A$7:$A$21,C436),INDEX($S$5:$S$1004,P436)))</f>
        <v/>
      </c>
      <c r="R436" t="str">
        <f>IF(N436="","",IF(P436=0,SUMIFS(Calcoli!$D$7:$D$21,Calcoli!$A$7:$A$21,C436),INDEX($T$5:$T$1004,P436)))</f>
        <v/>
      </c>
      <c r="S436" t="str">
        <f>IF(N436="","",IF(B436="Acquisto",Q436+N(D436),MAX(0,Q436-N(D436))))</f>
        <v/>
      </c>
      <c r="T436" t="str">
        <f>IF(N436="","",IF(B436="Acquisto",R436+J436+N(G436),IF(Q436&lt;=0,0,R436*(1-MIN(1,N(D436)/Q436)))))</f>
        <v/>
      </c>
      <c r="U436" t="str">
        <f>IF(B436&lt;&gt;"Vendita","",J436-N(G436)-IF(Q436&lt;=0,0,R436*MIN(1,N(D436)/Q436)))</f>
        <v/>
      </c>
      <c r="V436" t="str">
        <f>IF(B436&lt;&gt;"Dividendo","",IF(Calcoli!$B$251=1,J436,L436))</f>
        <v/>
      </c>
      <c r="W436" t="str">
        <f>IF(AND(V436&lt;&gt;"",ISNUMBER(A436)),A436,"")</f>
        <v/>
      </c>
    </row>
    <row r="437">
      <c r="A437" s="134" t="n"/>
      <c r="B437" s="116" t="n"/>
      <c r="C437" s="116" t="n"/>
      <c r="D437" s="121" t="n"/>
      <c r="E437" s="120" t="n"/>
      <c r="F437" s="120" t="n"/>
      <c r="G437" s="120" t="n"/>
      <c r="H437" s="120" t="n"/>
      <c r="I437" s="117" t="n"/>
      <c r="J437" s="123" t="str">
        <f>IF(B437="","",IF(F437&lt;&gt;"",N(F437),ROUND(N(D437)*N(E437),2)))</f>
        <v/>
      </c>
      <c r="K437" s="123" t="str">
        <f>IF(B437="","",IF(H437&lt;&gt;"",N(H437),IF(B437="Dividendo",ROUND(J437*IFERROR(INDEX(Calcoli!$V$7:$V$21,MATCH(C437,Calcoli!$A$7:$A$21,0)),0.26),2),IF(B437="Vendita",ROUND(MAX(0,U437)*IFERROR(INDEX(Calcoli!$V$7:$V$21,MATCH(C437,Calcoli!$A$7:$A$21,0)),0.26),2),0))))</f>
        <v/>
      </c>
      <c r="L437" s="135" t="str">
        <f>IF(B437="","",IF(B437="Acquisto",-(J437+N(G437)),J437-N(G437)-K437))</f>
        <v/>
      </c>
      <c r="M437" s="127" t="str">
        <f>IF(B437="","",IF(ISNA(MATCH(C437,ETF!$A$7:$A$21,0)),"ETF?",IF(NOT(ISNUMBER(A437)),"Data?",IF(AND(B437&lt;&gt;"Dividendo",N(D437)&lt;=0),"Quote?",IF(AND(B437="Vendita",N(D437)&gt;N(Q437)+0.000001),"Quote?",IF(J437&lt;=0,"Importo?","✓"))))))</f>
        <v/>
      </c>
      <c r="N437" t="str">
        <f>IF(OR(B437="Acquisto",B437="Vendita"),COUNTIFS($C$5:C437,C437,$B$5:B437,"Acquisto")+COUNTIFS($C$5:C437,C437,$B$5:B437,"Vendita"),"")</f>
        <v/>
      </c>
      <c r="O437" t="str">
        <f>IF(N437="","",C437&amp;"|"&amp;N437)</f>
        <v/>
      </c>
      <c r="P437" t="str">
        <f>IF(N437="","",IF(N437=1,0,MATCH(C437&amp;"|"&amp;(N437-1),$O$5:$O$1004,0)))</f>
        <v/>
      </c>
      <c r="Q437" t="str">
        <f>IF(N437="","",IF(P437=0,SUMIFS(Calcoli!$C$7:$C$21,Calcoli!$A$7:$A$21,C437),INDEX($S$5:$S$1004,P437)))</f>
        <v/>
      </c>
      <c r="R437" t="str">
        <f>IF(N437="","",IF(P437=0,SUMIFS(Calcoli!$D$7:$D$21,Calcoli!$A$7:$A$21,C437),INDEX($T$5:$T$1004,P437)))</f>
        <v/>
      </c>
      <c r="S437" t="str">
        <f>IF(N437="","",IF(B437="Acquisto",Q437+N(D437),MAX(0,Q437-N(D437))))</f>
        <v/>
      </c>
      <c r="T437" t="str">
        <f>IF(N437="","",IF(B437="Acquisto",R437+J437+N(G437),IF(Q437&lt;=0,0,R437*(1-MIN(1,N(D437)/Q437)))))</f>
        <v/>
      </c>
      <c r="U437" t="str">
        <f>IF(B437&lt;&gt;"Vendita","",J437-N(G437)-IF(Q437&lt;=0,0,R437*MIN(1,N(D437)/Q437)))</f>
        <v/>
      </c>
      <c r="V437" t="str">
        <f>IF(B437&lt;&gt;"Dividendo","",IF(Calcoli!$B$251=1,J437,L437))</f>
        <v/>
      </c>
      <c r="W437" t="str">
        <f>IF(AND(V437&lt;&gt;"",ISNUMBER(A437)),A437,"")</f>
        <v/>
      </c>
    </row>
    <row r="438">
      <c r="A438" s="134" t="n"/>
      <c r="B438" s="116" t="n"/>
      <c r="C438" s="116" t="n"/>
      <c r="D438" s="121" t="n"/>
      <c r="E438" s="120" t="n"/>
      <c r="F438" s="120" t="n"/>
      <c r="G438" s="120" t="n"/>
      <c r="H438" s="120" t="n"/>
      <c r="I438" s="117" t="n"/>
      <c r="J438" s="123" t="str">
        <f>IF(B438="","",IF(F438&lt;&gt;"",N(F438),ROUND(N(D438)*N(E438),2)))</f>
        <v/>
      </c>
      <c r="K438" s="123" t="str">
        <f>IF(B438="","",IF(H438&lt;&gt;"",N(H438),IF(B438="Dividendo",ROUND(J438*IFERROR(INDEX(Calcoli!$V$7:$V$21,MATCH(C438,Calcoli!$A$7:$A$21,0)),0.26),2),IF(B438="Vendita",ROUND(MAX(0,U438)*IFERROR(INDEX(Calcoli!$V$7:$V$21,MATCH(C438,Calcoli!$A$7:$A$21,0)),0.26),2),0))))</f>
        <v/>
      </c>
      <c r="L438" s="135" t="str">
        <f>IF(B438="","",IF(B438="Acquisto",-(J438+N(G438)),J438-N(G438)-K438))</f>
        <v/>
      </c>
      <c r="M438" s="127" t="str">
        <f>IF(B438="","",IF(ISNA(MATCH(C438,ETF!$A$7:$A$21,0)),"ETF?",IF(NOT(ISNUMBER(A438)),"Data?",IF(AND(B438&lt;&gt;"Dividendo",N(D438)&lt;=0),"Quote?",IF(AND(B438="Vendita",N(D438)&gt;N(Q438)+0.000001),"Quote?",IF(J438&lt;=0,"Importo?","✓"))))))</f>
        <v/>
      </c>
      <c r="N438" t="str">
        <f>IF(OR(B438="Acquisto",B438="Vendita"),COUNTIFS($C$5:C438,C438,$B$5:B438,"Acquisto")+COUNTIFS($C$5:C438,C438,$B$5:B438,"Vendita"),"")</f>
        <v/>
      </c>
      <c r="O438" t="str">
        <f>IF(N438="","",C438&amp;"|"&amp;N438)</f>
        <v/>
      </c>
      <c r="P438" t="str">
        <f>IF(N438="","",IF(N438=1,0,MATCH(C438&amp;"|"&amp;(N438-1),$O$5:$O$1004,0)))</f>
        <v/>
      </c>
      <c r="Q438" t="str">
        <f>IF(N438="","",IF(P438=0,SUMIFS(Calcoli!$C$7:$C$21,Calcoli!$A$7:$A$21,C438),INDEX($S$5:$S$1004,P438)))</f>
        <v/>
      </c>
      <c r="R438" t="str">
        <f>IF(N438="","",IF(P438=0,SUMIFS(Calcoli!$D$7:$D$21,Calcoli!$A$7:$A$21,C438),INDEX($T$5:$T$1004,P438)))</f>
        <v/>
      </c>
      <c r="S438" t="str">
        <f>IF(N438="","",IF(B438="Acquisto",Q438+N(D438),MAX(0,Q438-N(D438))))</f>
        <v/>
      </c>
      <c r="T438" t="str">
        <f>IF(N438="","",IF(B438="Acquisto",R438+J438+N(G438),IF(Q438&lt;=0,0,R438*(1-MIN(1,N(D438)/Q438)))))</f>
        <v/>
      </c>
      <c r="U438" t="str">
        <f>IF(B438&lt;&gt;"Vendita","",J438-N(G438)-IF(Q438&lt;=0,0,R438*MIN(1,N(D438)/Q438)))</f>
        <v/>
      </c>
      <c r="V438" t="str">
        <f>IF(B438&lt;&gt;"Dividendo","",IF(Calcoli!$B$251=1,J438,L438))</f>
        <v/>
      </c>
      <c r="W438" t="str">
        <f>IF(AND(V438&lt;&gt;"",ISNUMBER(A438)),A438,"")</f>
        <v/>
      </c>
    </row>
    <row r="439">
      <c r="A439" s="134" t="n"/>
      <c r="B439" s="116" t="n"/>
      <c r="C439" s="116" t="n"/>
      <c r="D439" s="121" t="n"/>
      <c r="E439" s="120" t="n"/>
      <c r="F439" s="120" t="n"/>
      <c r="G439" s="120" t="n"/>
      <c r="H439" s="120" t="n"/>
      <c r="I439" s="117" t="n"/>
      <c r="J439" s="123" t="str">
        <f>IF(B439="","",IF(F439&lt;&gt;"",N(F439),ROUND(N(D439)*N(E439),2)))</f>
        <v/>
      </c>
      <c r="K439" s="123" t="str">
        <f>IF(B439="","",IF(H439&lt;&gt;"",N(H439),IF(B439="Dividendo",ROUND(J439*IFERROR(INDEX(Calcoli!$V$7:$V$21,MATCH(C439,Calcoli!$A$7:$A$21,0)),0.26),2),IF(B439="Vendita",ROUND(MAX(0,U439)*IFERROR(INDEX(Calcoli!$V$7:$V$21,MATCH(C439,Calcoli!$A$7:$A$21,0)),0.26),2),0))))</f>
        <v/>
      </c>
      <c r="L439" s="135" t="str">
        <f>IF(B439="","",IF(B439="Acquisto",-(J439+N(G439)),J439-N(G439)-K439))</f>
        <v/>
      </c>
      <c r="M439" s="127" t="str">
        <f>IF(B439="","",IF(ISNA(MATCH(C439,ETF!$A$7:$A$21,0)),"ETF?",IF(NOT(ISNUMBER(A439)),"Data?",IF(AND(B439&lt;&gt;"Dividendo",N(D439)&lt;=0),"Quote?",IF(AND(B439="Vendita",N(D439)&gt;N(Q439)+0.000001),"Quote?",IF(J439&lt;=0,"Importo?","✓"))))))</f>
        <v/>
      </c>
      <c r="N439" t="str">
        <f>IF(OR(B439="Acquisto",B439="Vendita"),COUNTIFS($C$5:C439,C439,$B$5:B439,"Acquisto")+COUNTIFS($C$5:C439,C439,$B$5:B439,"Vendita"),"")</f>
        <v/>
      </c>
      <c r="O439" t="str">
        <f>IF(N439="","",C439&amp;"|"&amp;N439)</f>
        <v/>
      </c>
      <c r="P439" t="str">
        <f>IF(N439="","",IF(N439=1,0,MATCH(C439&amp;"|"&amp;(N439-1),$O$5:$O$1004,0)))</f>
        <v/>
      </c>
      <c r="Q439" t="str">
        <f>IF(N439="","",IF(P439=0,SUMIFS(Calcoli!$C$7:$C$21,Calcoli!$A$7:$A$21,C439),INDEX($S$5:$S$1004,P439)))</f>
        <v/>
      </c>
      <c r="R439" t="str">
        <f>IF(N439="","",IF(P439=0,SUMIFS(Calcoli!$D$7:$D$21,Calcoli!$A$7:$A$21,C439),INDEX($T$5:$T$1004,P439)))</f>
        <v/>
      </c>
      <c r="S439" t="str">
        <f>IF(N439="","",IF(B439="Acquisto",Q439+N(D439),MAX(0,Q439-N(D439))))</f>
        <v/>
      </c>
      <c r="T439" t="str">
        <f>IF(N439="","",IF(B439="Acquisto",R439+J439+N(G439),IF(Q439&lt;=0,0,R439*(1-MIN(1,N(D439)/Q439)))))</f>
        <v/>
      </c>
      <c r="U439" t="str">
        <f>IF(B439&lt;&gt;"Vendita","",J439-N(G439)-IF(Q439&lt;=0,0,R439*MIN(1,N(D439)/Q439)))</f>
        <v/>
      </c>
      <c r="V439" t="str">
        <f>IF(B439&lt;&gt;"Dividendo","",IF(Calcoli!$B$251=1,J439,L439))</f>
        <v/>
      </c>
      <c r="W439" t="str">
        <f>IF(AND(V439&lt;&gt;"",ISNUMBER(A439)),A439,"")</f>
        <v/>
      </c>
    </row>
    <row r="440">
      <c r="A440" s="134" t="n"/>
      <c r="B440" s="116" t="n"/>
      <c r="C440" s="116" t="n"/>
      <c r="D440" s="121" t="n"/>
      <c r="E440" s="120" t="n"/>
      <c r="F440" s="120" t="n"/>
      <c r="G440" s="120" t="n"/>
      <c r="H440" s="120" t="n"/>
      <c r="I440" s="117" t="n"/>
      <c r="J440" s="123" t="str">
        <f>IF(B440="","",IF(F440&lt;&gt;"",N(F440),ROUND(N(D440)*N(E440),2)))</f>
        <v/>
      </c>
      <c r="K440" s="123" t="str">
        <f>IF(B440="","",IF(H440&lt;&gt;"",N(H440),IF(B440="Dividendo",ROUND(J440*IFERROR(INDEX(Calcoli!$V$7:$V$21,MATCH(C440,Calcoli!$A$7:$A$21,0)),0.26),2),IF(B440="Vendita",ROUND(MAX(0,U440)*IFERROR(INDEX(Calcoli!$V$7:$V$21,MATCH(C440,Calcoli!$A$7:$A$21,0)),0.26),2),0))))</f>
        <v/>
      </c>
      <c r="L440" s="135" t="str">
        <f>IF(B440="","",IF(B440="Acquisto",-(J440+N(G440)),J440-N(G440)-K440))</f>
        <v/>
      </c>
      <c r="M440" s="127" t="str">
        <f>IF(B440="","",IF(ISNA(MATCH(C440,ETF!$A$7:$A$21,0)),"ETF?",IF(NOT(ISNUMBER(A440)),"Data?",IF(AND(B440&lt;&gt;"Dividendo",N(D440)&lt;=0),"Quote?",IF(AND(B440="Vendita",N(D440)&gt;N(Q440)+0.000001),"Quote?",IF(J440&lt;=0,"Importo?","✓"))))))</f>
        <v/>
      </c>
      <c r="N440" t="str">
        <f>IF(OR(B440="Acquisto",B440="Vendita"),COUNTIFS($C$5:C440,C440,$B$5:B440,"Acquisto")+COUNTIFS($C$5:C440,C440,$B$5:B440,"Vendita"),"")</f>
        <v/>
      </c>
      <c r="O440" t="str">
        <f>IF(N440="","",C440&amp;"|"&amp;N440)</f>
        <v/>
      </c>
      <c r="P440" t="str">
        <f>IF(N440="","",IF(N440=1,0,MATCH(C440&amp;"|"&amp;(N440-1),$O$5:$O$1004,0)))</f>
        <v/>
      </c>
      <c r="Q440" t="str">
        <f>IF(N440="","",IF(P440=0,SUMIFS(Calcoli!$C$7:$C$21,Calcoli!$A$7:$A$21,C440),INDEX($S$5:$S$1004,P440)))</f>
        <v/>
      </c>
      <c r="R440" t="str">
        <f>IF(N440="","",IF(P440=0,SUMIFS(Calcoli!$D$7:$D$21,Calcoli!$A$7:$A$21,C440),INDEX($T$5:$T$1004,P440)))</f>
        <v/>
      </c>
      <c r="S440" t="str">
        <f>IF(N440="","",IF(B440="Acquisto",Q440+N(D440),MAX(0,Q440-N(D440))))</f>
        <v/>
      </c>
      <c r="T440" t="str">
        <f>IF(N440="","",IF(B440="Acquisto",R440+J440+N(G440),IF(Q440&lt;=0,0,R440*(1-MIN(1,N(D440)/Q440)))))</f>
        <v/>
      </c>
      <c r="U440" t="str">
        <f>IF(B440&lt;&gt;"Vendita","",J440-N(G440)-IF(Q440&lt;=0,0,R440*MIN(1,N(D440)/Q440)))</f>
        <v/>
      </c>
      <c r="V440" t="str">
        <f>IF(B440&lt;&gt;"Dividendo","",IF(Calcoli!$B$251=1,J440,L440))</f>
        <v/>
      </c>
      <c r="W440" t="str">
        <f>IF(AND(V440&lt;&gt;"",ISNUMBER(A440)),A440,"")</f>
        <v/>
      </c>
    </row>
    <row r="441">
      <c r="A441" s="134" t="n"/>
      <c r="B441" s="116" t="n"/>
      <c r="C441" s="116" t="n"/>
      <c r="D441" s="121" t="n"/>
      <c r="E441" s="120" t="n"/>
      <c r="F441" s="120" t="n"/>
      <c r="G441" s="120" t="n"/>
      <c r="H441" s="120" t="n"/>
      <c r="I441" s="117" t="n"/>
      <c r="J441" s="123" t="str">
        <f>IF(B441="","",IF(F441&lt;&gt;"",N(F441),ROUND(N(D441)*N(E441),2)))</f>
        <v/>
      </c>
      <c r="K441" s="123" t="str">
        <f>IF(B441="","",IF(H441&lt;&gt;"",N(H441),IF(B441="Dividendo",ROUND(J441*IFERROR(INDEX(Calcoli!$V$7:$V$21,MATCH(C441,Calcoli!$A$7:$A$21,0)),0.26),2),IF(B441="Vendita",ROUND(MAX(0,U441)*IFERROR(INDEX(Calcoli!$V$7:$V$21,MATCH(C441,Calcoli!$A$7:$A$21,0)),0.26),2),0))))</f>
        <v/>
      </c>
      <c r="L441" s="135" t="str">
        <f>IF(B441="","",IF(B441="Acquisto",-(J441+N(G441)),J441-N(G441)-K441))</f>
        <v/>
      </c>
      <c r="M441" s="127" t="str">
        <f>IF(B441="","",IF(ISNA(MATCH(C441,ETF!$A$7:$A$21,0)),"ETF?",IF(NOT(ISNUMBER(A441)),"Data?",IF(AND(B441&lt;&gt;"Dividendo",N(D441)&lt;=0),"Quote?",IF(AND(B441="Vendita",N(D441)&gt;N(Q441)+0.000001),"Quote?",IF(J441&lt;=0,"Importo?","✓"))))))</f>
        <v/>
      </c>
      <c r="N441" t="str">
        <f>IF(OR(B441="Acquisto",B441="Vendita"),COUNTIFS($C$5:C441,C441,$B$5:B441,"Acquisto")+COUNTIFS($C$5:C441,C441,$B$5:B441,"Vendita"),"")</f>
        <v/>
      </c>
      <c r="O441" t="str">
        <f>IF(N441="","",C441&amp;"|"&amp;N441)</f>
        <v/>
      </c>
      <c r="P441" t="str">
        <f>IF(N441="","",IF(N441=1,0,MATCH(C441&amp;"|"&amp;(N441-1),$O$5:$O$1004,0)))</f>
        <v/>
      </c>
      <c r="Q441" t="str">
        <f>IF(N441="","",IF(P441=0,SUMIFS(Calcoli!$C$7:$C$21,Calcoli!$A$7:$A$21,C441),INDEX($S$5:$S$1004,P441)))</f>
        <v/>
      </c>
      <c r="R441" t="str">
        <f>IF(N441="","",IF(P441=0,SUMIFS(Calcoli!$D$7:$D$21,Calcoli!$A$7:$A$21,C441),INDEX($T$5:$T$1004,P441)))</f>
        <v/>
      </c>
      <c r="S441" t="str">
        <f>IF(N441="","",IF(B441="Acquisto",Q441+N(D441),MAX(0,Q441-N(D441))))</f>
        <v/>
      </c>
      <c r="T441" t="str">
        <f>IF(N441="","",IF(B441="Acquisto",R441+J441+N(G441),IF(Q441&lt;=0,0,R441*(1-MIN(1,N(D441)/Q441)))))</f>
        <v/>
      </c>
      <c r="U441" t="str">
        <f>IF(B441&lt;&gt;"Vendita","",J441-N(G441)-IF(Q441&lt;=0,0,R441*MIN(1,N(D441)/Q441)))</f>
        <v/>
      </c>
      <c r="V441" t="str">
        <f>IF(B441&lt;&gt;"Dividendo","",IF(Calcoli!$B$251=1,J441,L441))</f>
        <v/>
      </c>
      <c r="W441" t="str">
        <f>IF(AND(V441&lt;&gt;"",ISNUMBER(A441)),A441,"")</f>
        <v/>
      </c>
    </row>
    <row r="442">
      <c r="A442" s="134" t="n"/>
      <c r="B442" s="116" t="n"/>
      <c r="C442" s="116" t="n"/>
      <c r="D442" s="121" t="n"/>
      <c r="E442" s="120" t="n"/>
      <c r="F442" s="120" t="n"/>
      <c r="G442" s="120" t="n"/>
      <c r="H442" s="120" t="n"/>
      <c r="I442" s="117" t="n"/>
      <c r="J442" s="123" t="str">
        <f>IF(B442="","",IF(F442&lt;&gt;"",N(F442),ROUND(N(D442)*N(E442),2)))</f>
        <v/>
      </c>
      <c r="K442" s="123" t="str">
        <f>IF(B442="","",IF(H442&lt;&gt;"",N(H442),IF(B442="Dividendo",ROUND(J442*IFERROR(INDEX(Calcoli!$V$7:$V$21,MATCH(C442,Calcoli!$A$7:$A$21,0)),0.26),2),IF(B442="Vendita",ROUND(MAX(0,U442)*IFERROR(INDEX(Calcoli!$V$7:$V$21,MATCH(C442,Calcoli!$A$7:$A$21,0)),0.26),2),0))))</f>
        <v/>
      </c>
      <c r="L442" s="135" t="str">
        <f>IF(B442="","",IF(B442="Acquisto",-(J442+N(G442)),J442-N(G442)-K442))</f>
        <v/>
      </c>
      <c r="M442" s="127" t="str">
        <f>IF(B442="","",IF(ISNA(MATCH(C442,ETF!$A$7:$A$21,0)),"ETF?",IF(NOT(ISNUMBER(A442)),"Data?",IF(AND(B442&lt;&gt;"Dividendo",N(D442)&lt;=0),"Quote?",IF(AND(B442="Vendita",N(D442)&gt;N(Q442)+0.000001),"Quote?",IF(J442&lt;=0,"Importo?","✓"))))))</f>
        <v/>
      </c>
      <c r="N442" t="str">
        <f>IF(OR(B442="Acquisto",B442="Vendita"),COUNTIFS($C$5:C442,C442,$B$5:B442,"Acquisto")+COUNTIFS($C$5:C442,C442,$B$5:B442,"Vendita"),"")</f>
        <v/>
      </c>
      <c r="O442" t="str">
        <f>IF(N442="","",C442&amp;"|"&amp;N442)</f>
        <v/>
      </c>
      <c r="P442" t="str">
        <f>IF(N442="","",IF(N442=1,0,MATCH(C442&amp;"|"&amp;(N442-1),$O$5:$O$1004,0)))</f>
        <v/>
      </c>
      <c r="Q442" t="str">
        <f>IF(N442="","",IF(P442=0,SUMIFS(Calcoli!$C$7:$C$21,Calcoli!$A$7:$A$21,C442),INDEX($S$5:$S$1004,P442)))</f>
        <v/>
      </c>
      <c r="R442" t="str">
        <f>IF(N442="","",IF(P442=0,SUMIFS(Calcoli!$D$7:$D$21,Calcoli!$A$7:$A$21,C442),INDEX($T$5:$T$1004,P442)))</f>
        <v/>
      </c>
      <c r="S442" t="str">
        <f>IF(N442="","",IF(B442="Acquisto",Q442+N(D442),MAX(0,Q442-N(D442))))</f>
        <v/>
      </c>
      <c r="T442" t="str">
        <f>IF(N442="","",IF(B442="Acquisto",R442+J442+N(G442),IF(Q442&lt;=0,0,R442*(1-MIN(1,N(D442)/Q442)))))</f>
        <v/>
      </c>
      <c r="U442" t="str">
        <f>IF(B442&lt;&gt;"Vendita","",J442-N(G442)-IF(Q442&lt;=0,0,R442*MIN(1,N(D442)/Q442)))</f>
        <v/>
      </c>
      <c r="V442" t="str">
        <f>IF(B442&lt;&gt;"Dividendo","",IF(Calcoli!$B$251=1,J442,L442))</f>
        <v/>
      </c>
      <c r="W442" t="str">
        <f>IF(AND(V442&lt;&gt;"",ISNUMBER(A442)),A442,"")</f>
        <v/>
      </c>
    </row>
    <row r="443">
      <c r="A443" s="134" t="n"/>
      <c r="B443" s="116" t="n"/>
      <c r="C443" s="116" t="n"/>
      <c r="D443" s="121" t="n"/>
      <c r="E443" s="120" t="n"/>
      <c r="F443" s="120" t="n"/>
      <c r="G443" s="120" t="n"/>
      <c r="H443" s="120" t="n"/>
      <c r="I443" s="117" t="n"/>
      <c r="J443" s="123" t="str">
        <f>IF(B443="","",IF(F443&lt;&gt;"",N(F443),ROUND(N(D443)*N(E443),2)))</f>
        <v/>
      </c>
      <c r="K443" s="123" t="str">
        <f>IF(B443="","",IF(H443&lt;&gt;"",N(H443),IF(B443="Dividendo",ROUND(J443*IFERROR(INDEX(Calcoli!$V$7:$V$21,MATCH(C443,Calcoli!$A$7:$A$21,0)),0.26),2),IF(B443="Vendita",ROUND(MAX(0,U443)*IFERROR(INDEX(Calcoli!$V$7:$V$21,MATCH(C443,Calcoli!$A$7:$A$21,0)),0.26),2),0))))</f>
        <v/>
      </c>
      <c r="L443" s="135" t="str">
        <f>IF(B443="","",IF(B443="Acquisto",-(J443+N(G443)),J443-N(G443)-K443))</f>
        <v/>
      </c>
      <c r="M443" s="127" t="str">
        <f>IF(B443="","",IF(ISNA(MATCH(C443,ETF!$A$7:$A$21,0)),"ETF?",IF(NOT(ISNUMBER(A443)),"Data?",IF(AND(B443&lt;&gt;"Dividendo",N(D443)&lt;=0),"Quote?",IF(AND(B443="Vendita",N(D443)&gt;N(Q443)+0.000001),"Quote?",IF(J443&lt;=0,"Importo?","✓"))))))</f>
        <v/>
      </c>
      <c r="N443" t="str">
        <f>IF(OR(B443="Acquisto",B443="Vendita"),COUNTIFS($C$5:C443,C443,$B$5:B443,"Acquisto")+COUNTIFS($C$5:C443,C443,$B$5:B443,"Vendita"),"")</f>
        <v/>
      </c>
      <c r="O443" t="str">
        <f>IF(N443="","",C443&amp;"|"&amp;N443)</f>
        <v/>
      </c>
      <c r="P443" t="str">
        <f>IF(N443="","",IF(N443=1,0,MATCH(C443&amp;"|"&amp;(N443-1),$O$5:$O$1004,0)))</f>
        <v/>
      </c>
      <c r="Q443" t="str">
        <f>IF(N443="","",IF(P443=0,SUMIFS(Calcoli!$C$7:$C$21,Calcoli!$A$7:$A$21,C443),INDEX($S$5:$S$1004,P443)))</f>
        <v/>
      </c>
      <c r="R443" t="str">
        <f>IF(N443="","",IF(P443=0,SUMIFS(Calcoli!$D$7:$D$21,Calcoli!$A$7:$A$21,C443),INDEX($T$5:$T$1004,P443)))</f>
        <v/>
      </c>
      <c r="S443" t="str">
        <f>IF(N443="","",IF(B443="Acquisto",Q443+N(D443),MAX(0,Q443-N(D443))))</f>
        <v/>
      </c>
      <c r="T443" t="str">
        <f>IF(N443="","",IF(B443="Acquisto",R443+J443+N(G443),IF(Q443&lt;=0,0,R443*(1-MIN(1,N(D443)/Q443)))))</f>
        <v/>
      </c>
      <c r="U443" t="str">
        <f>IF(B443&lt;&gt;"Vendita","",J443-N(G443)-IF(Q443&lt;=0,0,R443*MIN(1,N(D443)/Q443)))</f>
        <v/>
      </c>
      <c r="V443" t="str">
        <f>IF(B443&lt;&gt;"Dividendo","",IF(Calcoli!$B$251=1,J443,L443))</f>
        <v/>
      </c>
      <c r="W443" t="str">
        <f>IF(AND(V443&lt;&gt;"",ISNUMBER(A443)),A443,"")</f>
        <v/>
      </c>
    </row>
    <row r="444">
      <c r="A444" s="134" t="n"/>
      <c r="B444" s="116" t="n"/>
      <c r="C444" s="116" t="n"/>
      <c r="D444" s="121" t="n"/>
      <c r="E444" s="120" t="n"/>
      <c r="F444" s="120" t="n"/>
      <c r="G444" s="120" t="n"/>
      <c r="H444" s="120" t="n"/>
      <c r="I444" s="117" t="n"/>
      <c r="J444" s="123" t="str">
        <f>IF(B444="","",IF(F444&lt;&gt;"",N(F444),ROUND(N(D444)*N(E444),2)))</f>
        <v/>
      </c>
      <c r="K444" s="123" t="str">
        <f>IF(B444="","",IF(H444&lt;&gt;"",N(H444),IF(B444="Dividendo",ROUND(J444*IFERROR(INDEX(Calcoli!$V$7:$V$21,MATCH(C444,Calcoli!$A$7:$A$21,0)),0.26),2),IF(B444="Vendita",ROUND(MAX(0,U444)*IFERROR(INDEX(Calcoli!$V$7:$V$21,MATCH(C444,Calcoli!$A$7:$A$21,0)),0.26),2),0))))</f>
        <v/>
      </c>
      <c r="L444" s="135" t="str">
        <f>IF(B444="","",IF(B444="Acquisto",-(J444+N(G444)),J444-N(G444)-K444))</f>
        <v/>
      </c>
      <c r="M444" s="127" t="str">
        <f>IF(B444="","",IF(ISNA(MATCH(C444,ETF!$A$7:$A$21,0)),"ETF?",IF(NOT(ISNUMBER(A444)),"Data?",IF(AND(B444&lt;&gt;"Dividendo",N(D444)&lt;=0),"Quote?",IF(AND(B444="Vendita",N(D444)&gt;N(Q444)+0.000001),"Quote?",IF(J444&lt;=0,"Importo?","✓"))))))</f>
        <v/>
      </c>
      <c r="N444" t="str">
        <f>IF(OR(B444="Acquisto",B444="Vendita"),COUNTIFS($C$5:C444,C444,$B$5:B444,"Acquisto")+COUNTIFS($C$5:C444,C444,$B$5:B444,"Vendita"),"")</f>
        <v/>
      </c>
      <c r="O444" t="str">
        <f>IF(N444="","",C444&amp;"|"&amp;N444)</f>
        <v/>
      </c>
      <c r="P444" t="str">
        <f>IF(N444="","",IF(N444=1,0,MATCH(C444&amp;"|"&amp;(N444-1),$O$5:$O$1004,0)))</f>
        <v/>
      </c>
      <c r="Q444" t="str">
        <f>IF(N444="","",IF(P444=0,SUMIFS(Calcoli!$C$7:$C$21,Calcoli!$A$7:$A$21,C444),INDEX($S$5:$S$1004,P444)))</f>
        <v/>
      </c>
      <c r="R444" t="str">
        <f>IF(N444="","",IF(P444=0,SUMIFS(Calcoli!$D$7:$D$21,Calcoli!$A$7:$A$21,C444),INDEX($T$5:$T$1004,P444)))</f>
        <v/>
      </c>
      <c r="S444" t="str">
        <f>IF(N444="","",IF(B444="Acquisto",Q444+N(D444),MAX(0,Q444-N(D444))))</f>
        <v/>
      </c>
      <c r="T444" t="str">
        <f>IF(N444="","",IF(B444="Acquisto",R444+J444+N(G444),IF(Q444&lt;=0,0,R444*(1-MIN(1,N(D444)/Q444)))))</f>
        <v/>
      </c>
      <c r="U444" t="str">
        <f>IF(B444&lt;&gt;"Vendita","",J444-N(G444)-IF(Q444&lt;=0,0,R444*MIN(1,N(D444)/Q444)))</f>
        <v/>
      </c>
      <c r="V444" t="str">
        <f>IF(B444&lt;&gt;"Dividendo","",IF(Calcoli!$B$251=1,J444,L444))</f>
        <v/>
      </c>
      <c r="W444" t="str">
        <f>IF(AND(V444&lt;&gt;"",ISNUMBER(A444)),A444,"")</f>
        <v/>
      </c>
    </row>
    <row r="445">
      <c r="A445" s="134" t="n"/>
      <c r="B445" s="116" t="n"/>
      <c r="C445" s="116" t="n"/>
      <c r="D445" s="121" t="n"/>
      <c r="E445" s="120" t="n"/>
      <c r="F445" s="120" t="n"/>
      <c r="G445" s="120" t="n"/>
      <c r="H445" s="120" t="n"/>
      <c r="I445" s="117" t="n"/>
      <c r="J445" s="123" t="str">
        <f>IF(B445="","",IF(F445&lt;&gt;"",N(F445),ROUND(N(D445)*N(E445),2)))</f>
        <v/>
      </c>
      <c r="K445" s="123" t="str">
        <f>IF(B445="","",IF(H445&lt;&gt;"",N(H445),IF(B445="Dividendo",ROUND(J445*IFERROR(INDEX(Calcoli!$V$7:$V$21,MATCH(C445,Calcoli!$A$7:$A$21,0)),0.26),2),IF(B445="Vendita",ROUND(MAX(0,U445)*IFERROR(INDEX(Calcoli!$V$7:$V$21,MATCH(C445,Calcoli!$A$7:$A$21,0)),0.26),2),0))))</f>
        <v/>
      </c>
      <c r="L445" s="135" t="str">
        <f>IF(B445="","",IF(B445="Acquisto",-(J445+N(G445)),J445-N(G445)-K445))</f>
        <v/>
      </c>
      <c r="M445" s="127" t="str">
        <f>IF(B445="","",IF(ISNA(MATCH(C445,ETF!$A$7:$A$21,0)),"ETF?",IF(NOT(ISNUMBER(A445)),"Data?",IF(AND(B445&lt;&gt;"Dividendo",N(D445)&lt;=0),"Quote?",IF(AND(B445="Vendita",N(D445)&gt;N(Q445)+0.000001),"Quote?",IF(J445&lt;=0,"Importo?","✓"))))))</f>
        <v/>
      </c>
      <c r="N445" t="str">
        <f>IF(OR(B445="Acquisto",B445="Vendita"),COUNTIFS($C$5:C445,C445,$B$5:B445,"Acquisto")+COUNTIFS($C$5:C445,C445,$B$5:B445,"Vendita"),"")</f>
        <v/>
      </c>
      <c r="O445" t="str">
        <f>IF(N445="","",C445&amp;"|"&amp;N445)</f>
        <v/>
      </c>
      <c r="P445" t="str">
        <f>IF(N445="","",IF(N445=1,0,MATCH(C445&amp;"|"&amp;(N445-1),$O$5:$O$1004,0)))</f>
        <v/>
      </c>
      <c r="Q445" t="str">
        <f>IF(N445="","",IF(P445=0,SUMIFS(Calcoli!$C$7:$C$21,Calcoli!$A$7:$A$21,C445),INDEX($S$5:$S$1004,P445)))</f>
        <v/>
      </c>
      <c r="R445" t="str">
        <f>IF(N445="","",IF(P445=0,SUMIFS(Calcoli!$D$7:$D$21,Calcoli!$A$7:$A$21,C445),INDEX($T$5:$T$1004,P445)))</f>
        <v/>
      </c>
      <c r="S445" t="str">
        <f>IF(N445="","",IF(B445="Acquisto",Q445+N(D445),MAX(0,Q445-N(D445))))</f>
        <v/>
      </c>
      <c r="T445" t="str">
        <f>IF(N445="","",IF(B445="Acquisto",R445+J445+N(G445),IF(Q445&lt;=0,0,R445*(1-MIN(1,N(D445)/Q445)))))</f>
        <v/>
      </c>
      <c r="U445" t="str">
        <f>IF(B445&lt;&gt;"Vendita","",J445-N(G445)-IF(Q445&lt;=0,0,R445*MIN(1,N(D445)/Q445)))</f>
        <v/>
      </c>
      <c r="V445" t="str">
        <f>IF(B445&lt;&gt;"Dividendo","",IF(Calcoli!$B$251=1,J445,L445))</f>
        <v/>
      </c>
      <c r="W445" t="str">
        <f>IF(AND(V445&lt;&gt;"",ISNUMBER(A445)),A445,"")</f>
        <v/>
      </c>
    </row>
    <row r="446">
      <c r="A446" s="134" t="n"/>
      <c r="B446" s="116" t="n"/>
      <c r="C446" s="116" t="n"/>
      <c r="D446" s="121" t="n"/>
      <c r="E446" s="120" t="n"/>
      <c r="F446" s="120" t="n"/>
      <c r="G446" s="120" t="n"/>
      <c r="H446" s="120" t="n"/>
      <c r="I446" s="117" t="n"/>
      <c r="J446" s="123" t="str">
        <f>IF(B446="","",IF(F446&lt;&gt;"",N(F446),ROUND(N(D446)*N(E446),2)))</f>
        <v/>
      </c>
      <c r="K446" s="123" t="str">
        <f>IF(B446="","",IF(H446&lt;&gt;"",N(H446),IF(B446="Dividendo",ROUND(J446*IFERROR(INDEX(Calcoli!$V$7:$V$21,MATCH(C446,Calcoli!$A$7:$A$21,0)),0.26),2),IF(B446="Vendita",ROUND(MAX(0,U446)*IFERROR(INDEX(Calcoli!$V$7:$V$21,MATCH(C446,Calcoli!$A$7:$A$21,0)),0.26),2),0))))</f>
        <v/>
      </c>
      <c r="L446" s="135" t="str">
        <f>IF(B446="","",IF(B446="Acquisto",-(J446+N(G446)),J446-N(G446)-K446))</f>
        <v/>
      </c>
      <c r="M446" s="127" t="str">
        <f>IF(B446="","",IF(ISNA(MATCH(C446,ETF!$A$7:$A$21,0)),"ETF?",IF(NOT(ISNUMBER(A446)),"Data?",IF(AND(B446&lt;&gt;"Dividendo",N(D446)&lt;=0),"Quote?",IF(AND(B446="Vendita",N(D446)&gt;N(Q446)+0.000001),"Quote?",IF(J446&lt;=0,"Importo?","✓"))))))</f>
        <v/>
      </c>
      <c r="N446" t="str">
        <f>IF(OR(B446="Acquisto",B446="Vendita"),COUNTIFS($C$5:C446,C446,$B$5:B446,"Acquisto")+COUNTIFS($C$5:C446,C446,$B$5:B446,"Vendita"),"")</f>
        <v/>
      </c>
      <c r="O446" t="str">
        <f>IF(N446="","",C446&amp;"|"&amp;N446)</f>
        <v/>
      </c>
      <c r="P446" t="str">
        <f>IF(N446="","",IF(N446=1,0,MATCH(C446&amp;"|"&amp;(N446-1),$O$5:$O$1004,0)))</f>
        <v/>
      </c>
      <c r="Q446" t="str">
        <f>IF(N446="","",IF(P446=0,SUMIFS(Calcoli!$C$7:$C$21,Calcoli!$A$7:$A$21,C446),INDEX($S$5:$S$1004,P446)))</f>
        <v/>
      </c>
      <c r="R446" t="str">
        <f>IF(N446="","",IF(P446=0,SUMIFS(Calcoli!$D$7:$D$21,Calcoli!$A$7:$A$21,C446),INDEX($T$5:$T$1004,P446)))</f>
        <v/>
      </c>
      <c r="S446" t="str">
        <f>IF(N446="","",IF(B446="Acquisto",Q446+N(D446),MAX(0,Q446-N(D446))))</f>
        <v/>
      </c>
      <c r="T446" t="str">
        <f>IF(N446="","",IF(B446="Acquisto",R446+J446+N(G446),IF(Q446&lt;=0,0,R446*(1-MIN(1,N(D446)/Q446)))))</f>
        <v/>
      </c>
      <c r="U446" t="str">
        <f>IF(B446&lt;&gt;"Vendita","",J446-N(G446)-IF(Q446&lt;=0,0,R446*MIN(1,N(D446)/Q446)))</f>
        <v/>
      </c>
      <c r="V446" t="str">
        <f>IF(B446&lt;&gt;"Dividendo","",IF(Calcoli!$B$251=1,J446,L446))</f>
        <v/>
      </c>
      <c r="W446" t="str">
        <f>IF(AND(V446&lt;&gt;"",ISNUMBER(A446)),A446,"")</f>
        <v/>
      </c>
    </row>
    <row r="447">
      <c r="A447" s="134" t="n"/>
      <c r="B447" s="116" t="n"/>
      <c r="C447" s="116" t="n"/>
      <c r="D447" s="121" t="n"/>
      <c r="E447" s="120" t="n"/>
      <c r="F447" s="120" t="n"/>
      <c r="G447" s="120" t="n"/>
      <c r="H447" s="120" t="n"/>
      <c r="I447" s="117" t="n"/>
      <c r="J447" s="123" t="str">
        <f>IF(B447="","",IF(F447&lt;&gt;"",N(F447),ROUND(N(D447)*N(E447),2)))</f>
        <v/>
      </c>
      <c r="K447" s="123" t="str">
        <f>IF(B447="","",IF(H447&lt;&gt;"",N(H447),IF(B447="Dividendo",ROUND(J447*IFERROR(INDEX(Calcoli!$V$7:$V$21,MATCH(C447,Calcoli!$A$7:$A$21,0)),0.26),2),IF(B447="Vendita",ROUND(MAX(0,U447)*IFERROR(INDEX(Calcoli!$V$7:$V$21,MATCH(C447,Calcoli!$A$7:$A$21,0)),0.26),2),0))))</f>
        <v/>
      </c>
      <c r="L447" s="135" t="str">
        <f>IF(B447="","",IF(B447="Acquisto",-(J447+N(G447)),J447-N(G447)-K447))</f>
        <v/>
      </c>
      <c r="M447" s="127" t="str">
        <f>IF(B447="","",IF(ISNA(MATCH(C447,ETF!$A$7:$A$21,0)),"ETF?",IF(NOT(ISNUMBER(A447)),"Data?",IF(AND(B447&lt;&gt;"Dividendo",N(D447)&lt;=0),"Quote?",IF(AND(B447="Vendita",N(D447)&gt;N(Q447)+0.000001),"Quote?",IF(J447&lt;=0,"Importo?","✓"))))))</f>
        <v/>
      </c>
      <c r="N447" t="str">
        <f>IF(OR(B447="Acquisto",B447="Vendita"),COUNTIFS($C$5:C447,C447,$B$5:B447,"Acquisto")+COUNTIFS($C$5:C447,C447,$B$5:B447,"Vendita"),"")</f>
        <v/>
      </c>
      <c r="O447" t="str">
        <f>IF(N447="","",C447&amp;"|"&amp;N447)</f>
        <v/>
      </c>
      <c r="P447" t="str">
        <f>IF(N447="","",IF(N447=1,0,MATCH(C447&amp;"|"&amp;(N447-1),$O$5:$O$1004,0)))</f>
        <v/>
      </c>
      <c r="Q447" t="str">
        <f>IF(N447="","",IF(P447=0,SUMIFS(Calcoli!$C$7:$C$21,Calcoli!$A$7:$A$21,C447),INDEX($S$5:$S$1004,P447)))</f>
        <v/>
      </c>
      <c r="R447" t="str">
        <f>IF(N447="","",IF(P447=0,SUMIFS(Calcoli!$D$7:$D$21,Calcoli!$A$7:$A$21,C447),INDEX($T$5:$T$1004,P447)))</f>
        <v/>
      </c>
      <c r="S447" t="str">
        <f>IF(N447="","",IF(B447="Acquisto",Q447+N(D447),MAX(0,Q447-N(D447))))</f>
        <v/>
      </c>
      <c r="T447" t="str">
        <f>IF(N447="","",IF(B447="Acquisto",R447+J447+N(G447),IF(Q447&lt;=0,0,R447*(1-MIN(1,N(D447)/Q447)))))</f>
        <v/>
      </c>
      <c r="U447" t="str">
        <f>IF(B447&lt;&gt;"Vendita","",J447-N(G447)-IF(Q447&lt;=0,0,R447*MIN(1,N(D447)/Q447)))</f>
        <v/>
      </c>
      <c r="V447" t="str">
        <f>IF(B447&lt;&gt;"Dividendo","",IF(Calcoli!$B$251=1,J447,L447))</f>
        <v/>
      </c>
      <c r="W447" t="str">
        <f>IF(AND(V447&lt;&gt;"",ISNUMBER(A447)),A447,"")</f>
        <v/>
      </c>
    </row>
    <row r="448">
      <c r="A448" s="134" t="n"/>
      <c r="B448" s="116" t="n"/>
      <c r="C448" s="116" t="n"/>
      <c r="D448" s="121" t="n"/>
      <c r="E448" s="120" t="n"/>
      <c r="F448" s="120" t="n"/>
      <c r="G448" s="120" t="n"/>
      <c r="H448" s="120" t="n"/>
      <c r="I448" s="117" t="n"/>
      <c r="J448" s="123" t="str">
        <f>IF(B448="","",IF(F448&lt;&gt;"",N(F448),ROUND(N(D448)*N(E448),2)))</f>
        <v/>
      </c>
      <c r="K448" s="123" t="str">
        <f>IF(B448="","",IF(H448&lt;&gt;"",N(H448),IF(B448="Dividendo",ROUND(J448*IFERROR(INDEX(Calcoli!$V$7:$V$21,MATCH(C448,Calcoli!$A$7:$A$21,0)),0.26),2),IF(B448="Vendita",ROUND(MAX(0,U448)*IFERROR(INDEX(Calcoli!$V$7:$V$21,MATCH(C448,Calcoli!$A$7:$A$21,0)),0.26),2),0))))</f>
        <v/>
      </c>
      <c r="L448" s="135" t="str">
        <f>IF(B448="","",IF(B448="Acquisto",-(J448+N(G448)),J448-N(G448)-K448))</f>
        <v/>
      </c>
      <c r="M448" s="127" t="str">
        <f>IF(B448="","",IF(ISNA(MATCH(C448,ETF!$A$7:$A$21,0)),"ETF?",IF(NOT(ISNUMBER(A448)),"Data?",IF(AND(B448&lt;&gt;"Dividendo",N(D448)&lt;=0),"Quote?",IF(AND(B448="Vendita",N(D448)&gt;N(Q448)+0.000001),"Quote?",IF(J448&lt;=0,"Importo?","✓"))))))</f>
        <v/>
      </c>
      <c r="N448" t="str">
        <f>IF(OR(B448="Acquisto",B448="Vendita"),COUNTIFS($C$5:C448,C448,$B$5:B448,"Acquisto")+COUNTIFS($C$5:C448,C448,$B$5:B448,"Vendita"),"")</f>
        <v/>
      </c>
      <c r="O448" t="str">
        <f>IF(N448="","",C448&amp;"|"&amp;N448)</f>
        <v/>
      </c>
      <c r="P448" t="str">
        <f>IF(N448="","",IF(N448=1,0,MATCH(C448&amp;"|"&amp;(N448-1),$O$5:$O$1004,0)))</f>
        <v/>
      </c>
      <c r="Q448" t="str">
        <f>IF(N448="","",IF(P448=0,SUMIFS(Calcoli!$C$7:$C$21,Calcoli!$A$7:$A$21,C448),INDEX($S$5:$S$1004,P448)))</f>
        <v/>
      </c>
      <c r="R448" t="str">
        <f>IF(N448="","",IF(P448=0,SUMIFS(Calcoli!$D$7:$D$21,Calcoli!$A$7:$A$21,C448),INDEX($T$5:$T$1004,P448)))</f>
        <v/>
      </c>
      <c r="S448" t="str">
        <f>IF(N448="","",IF(B448="Acquisto",Q448+N(D448),MAX(0,Q448-N(D448))))</f>
        <v/>
      </c>
      <c r="T448" t="str">
        <f>IF(N448="","",IF(B448="Acquisto",R448+J448+N(G448),IF(Q448&lt;=0,0,R448*(1-MIN(1,N(D448)/Q448)))))</f>
        <v/>
      </c>
      <c r="U448" t="str">
        <f>IF(B448&lt;&gt;"Vendita","",J448-N(G448)-IF(Q448&lt;=0,0,R448*MIN(1,N(D448)/Q448)))</f>
        <v/>
      </c>
      <c r="V448" t="str">
        <f>IF(B448&lt;&gt;"Dividendo","",IF(Calcoli!$B$251=1,J448,L448))</f>
        <v/>
      </c>
      <c r="W448" t="str">
        <f>IF(AND(V448&lt;&gt;"",ISNUMBER(A448)),A448,"")</f>
        <v/>
      </c>
    </row>
    <row r="449">
      <c r="A449" s="134" t="n"/>
      <c r="B449" s="116" t="n"/>
      <c r="C449" s="116" t="n"/>
      <c r="D449" s="121" t="n"/>
      <c r="E449" s="120" t="n"/>
      <c r="F449" s="120" t="n"/>
      <c r="G449" s="120" t="n"/>
      <c r="H449" s="120" t="n"/>
      <c r="I449" s="117" t="n"/>
      <c r="J449" s="123" t="str">
        <f>IF(B449="","",IF(F449&lt;&gt;"",N(F449),ROUND(N(D449)*N(E449),2)))</f>
        <v/>
      </c>
      <c r="K449" s="123" t="str">
        <f>IF(B449="","",IF(H449&lt;&gt;"",N(H449),IF(B449="Dividendo",ROUND(J449*IFERROR(INDEX(Calcoli!$V$7:$V$21,MATCH(C449,Calcoli!$A$7:$A$21,0)),0.26),2),IF(B449="Vendita",ROUND(MAX(0,U449)*IFERROR(INDEX(Calcoli!$V$7:$V$21,MATCH(C449,Calcoli!$A$7:$A$21,0)),0.26),2),0))))</f>
        <v/>
      </c>
      <c r="L449" s="135" t="str">
        <f>IF(B449="","",IF(B449="Acquisto",-(J449+N(G449)),J449-N(G449)-K449))</f>
        <v/>
      </c>
      <c r="M449" s="127" t="str">
        <f>IF(B449="","",IF(ISNA(MATCH(C449,ETF!$A$7:$A$21,0)),"ETF?",IF(NOT(ISNUMBER(A449)),"Data?",IF(AND(B449&lt;&gt;"Dividendo",N(D449)&lt;=0),"Quote?",IF(AND(B449="Vendita",N(D449)&gt;N(Q449)+0.000001),"Quote?",IF(J449&lt;=0,"Importo?","✓"))))))</f>
        <v/>
      </c>
      <c r="N449" t="str">
        <f>IF(OR(B449="Acquisto",B449="Vendita"),COUNTIFS($C$5:C449,C449,$B$5:B449,"Acquisto")+COUNTIFS($C$5:C449,C449,$B$5:B449,"Vendita"),"")</f>
        <v/>
      </c>
      <c r="O449" t="str">
        <f>IF(N449="","",C449&amp;"|"&amp;N449)</f>
        <v/>
      </c>
      <c r="P449" t="str">
        <f>IF(N449="","",IF(N449=1,0,MATCH(C449&amp;"|"&amp;(N449-1),$O$5:$O$1004,0)))</f>
        <v/>
      </c>
      <c r="Q449" t="str">
        <f>IF(N449="","",IF(P449=0,SUMIFS(Calcoli!$C$7:$C$21,Calcoli!$A$7:$A$21,C449),INDEX($S$5:$S$1004,P449)))</f>
        <v/>
      </c>
      <c r="R449" t="str">
        <f>IF(N449="","",IF(P449=0,SUMIFS(Calcoli!$D$7:$D$21,Calcoli!$A$7:$A$21,C449),INDEX($T$5:$T$1004,P449)))</f>
        <v/>
      </c>
      <c r="S449" t="str">
        <f>IF(N449="","",IF(B449="Acquisto",Q449+N(D449),MAX(0,Q449-N(D449))))</f>
        <v/>
      </c>
      <c r="T449" t="str">
        <f>IF(N449="","",IF(B449="Acquisto",R449+J449+N(G449),IF(Q449&lt;=0,0,R449*(1-MIN(1,N(D449)/Q449)))))</f>
        <v/>
      </c>
      <c r="U449" t="str">
        <f>IF(B449&lt;&gt;"Vendita","",J449-N(G449)-IF(Q449&lt;=0,0,R449*MIN(1,N(D449)/Q449)))</f>
        <v/>
      </c>
      <c r="V449" t="str">
        <f>IF(B449&lt;&gt;"Dividendo","",IF(Calcoli!$B$251=1,J449,L449))</f>
        <v/>
      </c>
      <c r="W449" t="str">
        <f>IF(AND(V449&lt;&gt;"",ISNUMBER(A449)),A449,"")</f>
        <v/>
      </c>
    </row>
    <row r="450">
      <c r="A450" s="134" t="n"/>
      <c r="B450" s="116" t="n"/>
      <c r="C450" s="116" t="n"/>
      <c r="D450" s="121" t="n"/>
      <c r="E450" s="120" t="n"/>
      <c r="F450" s="120" t="n"/>
      <c r="G450" s="120" t="n"/>
      <c r="H450" s="120" t="n"/>
      <c r="I450" s="117" t="n"/>
      <c r="J450" s="123" t="str">
        <f>IF(B450="","",IF(F450&lt;&gt;"",N(F450),ROUND(N(D450)*N(E450),2)))</f>
        <v/>
      </c>
      <c r="K450" s="123" t="str">
        <f>IF(B450="","",IF(H450&lt;&gt;"",N(H450),IF(B450="Dividendo",ROUND(J450*IFERROR(INDEX(Calcoli!$V$7:$V$21,MATCH(C450,Calcoli!$A$7:$A$21,0)),0.26),2),IF(B450="Vendita",ROUND(MAX(0,U450)*IFERROR(INDEX(Calcoli!$V$7:$V$21,MATCH(C450,Calcoli!$A$7:$A$21,0)),0.26),2),0))))</f>
        <v/>
      </c>
      <c r="L450" s="135" t="str">
        <f>IF(B450="","",IF(B450="Acquisto",-(J450+N(G450)),J450-N(G450)-K450))</f>
        <v/>
      </c>
      <c r="M450" s="127" t="str">
        <f>IF(B450="","",IF(ISNA(MATCH(C450,ETF!$A$7:$A$21,0)),"ETF?",IF(NOT(ISNUMBER(A450)),"Data?",IF(AND(B450&lt;&gt;"Dividendo",N(D450)&lt;=0),"Quote?",IF(AND(B450="Vendita",N(D450)&gt;N(Q450)+0.000001),"Quote?",IF(J450&lt;=0,"Importo?","✓"))))))</f>
        <v/>
      </c>
      <c r="N450" t="str">
        <f>IF(OR(B450="Acquisto",B450="Vendita"),COUNTIFS($C$5:C450,C450,$B$5:B450,"Acquisto")+COUNTIFS($C$5:C450,C450,$B$5:B450,"Vendita"),"")</f>
        <v/>
      </c>
      <c r="O450" t="str">
        <f>IF(N450="","",C450&amp;"|"&amp;N450)</f>
        <v/>
      </c>
      <c r="P450" t="str">
        <f>IF(N450="","",IF(N450=1,0,MATCH(C450&amp;"|"&amp;(N450-1),$O$5:$O$1004,0)))</f>
        <v/>
      </c>
      <c r="Q450" t="str">
        <f>IF(N450="","",IF(P450=0,SUMIFS(Calcoli!$C$7:$C$21,Calcoli!$A$7:$A$21,C450),INDEX($S$5:$S$1004,P450)))</f>
        <v/>
      </c>
      <c r="R450" t="str">
        <f>IF(N450="","",IF(P450=0,SUMIFS(Calcoli!$D$7:$D$21,Calcoli!$A$7:$A$21,C450),INDEX($T$5:$T$1004,P450)))</f>
        <v/>
      </c>
      <c r="S450" t="str">
        <f>IF(N450="","",IF(B450="Acquisto",Q450+N(D450),MAX(0,Q450-N(D450))))</f>
        <v/>
      </c>
      <c r="T450" t="str">
        <f>IF(N450="","",IF(B450="Acquisto",R450+J450+N(G450),IF(Q450&lt;=0,0,R450*(1-MIN(1,N(D450)/Q450)))))</f>
        <v/>
      </c>
      <c r="U450" t="str">
        <f>IF(B450&lt;&gt;"Vendita","",J450-N(G450)-IF(Q450&lt;=0,0,R450*MIN(1,N(D450)/Q450)))</f>
        <v/>
      </c>
      <c r="V450" t="str">
        <f>IF(B450&lt;&gt;"Dividendo","",IF(Calcoli!$B$251=1,J450,L450))</f>
        <v/>
      </c>
      <c r="W450" t="str">
        <f>IF(AND(V450&lt;&gt;"",ISNUMBER(A450)),A450,"")</f>
        <v/>
      </c>
    </row>
    <row r="451">
      <c r="A451" s="134" t="n"/>
      <c r="B451" s="116" t="n"/>
      <c r="C451" s="116" t="n"/>
      <c r="D451" s="121" t="n"/>
      <c r="E451" s="120" t="n"/>
      <c r="F451" s="120" t="n"/>
      <c r="G451" s="120" t="n"/>
      <c r="H451" s="120" t="n"/>
      <c r="I451" s="117" t="n"/>
      <c r="J451" s="123" t="str">
        <f>IF(B451="","",IF(F451&lt;&gt;"",N(F451),ROUND(N(D451)*N(E451),2)))</f>
        <v/>
      </c>
      <c r="K451" s="123" t="str">
        <f>IF(B451="","",IF(H451&lt;&gt;"",N(H451),IF(B451="Dividendo",ROUND(J451*IFERROR(INDEX(Calcoli!$V$7:$V$21,MATCH(C451,Calcoli!$A$7:$A$21,0)),0.26),2),IF(B451="Vendita",ROUND(MAX(0,U451)*IFERROR(INDEX(Calcoli!$V$7:$V$21,MATCH(C451,Calcoli!$A$7:$A$21,0)),0.26),2),0))))</f>
        <v/>
      </c>
      <c r="L451" s="135" t="str">
        <f>IF(B451="","",IF(B451="Acquisto",-(J451+N(G451)),J451-N(G451)-K451))</f>
        <v/>
      </c>
      <c r="M451" s="127" t="str">
        <f>IF(B451="","",IF(ISNA(MATCH(C451,ETF!$A$7:$A$21,0)),"ETF?",IF(NOT(ISNUMBER(A451)),"Data?",IF(AND(B451&lt;&gt;"Dividendo",N(D451)&lt;=0),"Quote?",IF(AND(B451="Vendita",N(D451)&gt;N(Q451)+0.000001),"Quote?",IF(J451&lt;=0,"Importo?","✓"))))))</f>
        <v/>
      </c>
      <c r="N451" t="str">
        <f>IF(OR(B451="Acquisto",B451="Vendita"),COUNTIFS($C$5:C451,C451,$B$5:B451,"Acquisto")+COUNTIFS($C$5:C451,C451,$B$5:B451,"Vendita"),"")</f>
        <v/>
      </c>
      <c r="O451" t="str">
        <f>IF(N451="","",C451&amp;"|"&amp;N451)</f>
        <v/>
      </c>
      <c r="P451" t="str">
        <f>IF(N451="","",IF(N451=1,0,MATCH(C451&amp;"|"&amp;(N451-1),$O$5:$O$1004,0)))</f>
        <v/>
      </c>
      <c r="Q451" t="str">
        <f>IF(N451="","",IF(P451=0,SUMIFS(Calcoli!$C$7:$C$21,Calcoli!$A$7:$A$21,C451),INDEX($S$5:$S$1004,P451)))</f>
        <v/>
      </c>
      <c r="R451" t="str">
        <f>IF(N451="","",IF(P451=0,SUMIFS(Calcoli!$D$7:$D$21,Calcoli!$A$7:$A$21,C451),INDEX($T$5:$T$1004,P451)))</f>
        <v/>
      </c>
      <c r="S451" t="str">
        <f>IF(N451="","",IF(B451="Acquisto",Q451+N(D451),MAX(0,Q451-N(D451))))</f>
        <v/>
      </c>
      <c r="T451" t="str">
        <f>IF(N451="","",IF(B451="Acquisto",R451+J451+N(G451),IF(Q451&lt;=0,0,R451*(1-MIN(1,N(D451)/Q451)))))</f>
        <v/>
      </c>
      <c r="U451" t="str">
        <f>IF(B451&lt;&gt;"Vendita","",J451-N(G451)-IF(Q451&lt;=0,0,R451*MIN(1,N(D451)/Q451)))</f>
        <v/>
      </c>
      <c r="V451" t="str">
        <f>IF(B451&lt;&gt;"Dividendo","",IF(Calcoli!$B$251=1,J451,L451))</f>
        <v/>
      </c>
      <c r="W451" t="str">
        <f>IF(AND(V451&lt;&gt;"",ISNUMBER(A451)),A451,"")</f>
        <v/>
      </c>
    </row>
    <row r="452">
      <c r="A452" s="134" t="n"/>
      <c r="B452" s="116" t="n"/>
      <c r="C452" s="116" t="n"/>
      <c r="D452" s="121" t="n"/>
      <c r="E452" s="120" t="n"/>
      <c r="F452" s="120" t="n"/>
      <c r="G452" s="120" t="n"/>
      <c r="H452" s="120" t="n"/>
      <c r="I452" s="117" t="n"/>
      <c r="J452" s="123" t="str">
        <f>IF(B452="","",IF(F452&lt;&gt;"",N(F452),ROUND(N(D452)*N(E452),2)))</f>
        <v/>
      </c>
      <c r="K452" s="123" t="str">
        <f>IF(B452="","",IF(H452&lt;&gt;"",N(H452),IF(B452="Dividendo",ROUND(J452*IFERROR(INDEX(Calcoli!$V$7:$V$21,MATCH(C452,Calcoli!$A$7:$A$21,0)),0.26),2),IF(B452="Vendita",ROUND(MAX(0,U452)*IFERROR(INDEX(Calcoli!$V$7:$V$21,MATCH(C452,Calcoli!$A$7:$A$21,0)),0.26),2),0))))</f>
        <v/>
      </c>
      <c r="L452" s="135" t="str">
        <f>IF(B452="","",IF(B452="Acquisto",-(J452+N(G452)),J452-N(G452)-K452))</f>
        <v/>
      </c>
      <c r="M452" s="127" t="str">
        <f>IF(B452="","",IF(ISNA(MATCH(C452,ETF!$A$7:$A$21,0)),"ETF?",IF(NOT(ISNUMBER(A452)),"Data?",IF(AND(B452&lt;&gt;"Dividendo",N(D452)&lt;=0),"Quote?",IF(AND(B452="Vendita",N(D452)&gt;N(Q452)+0.000001),"Quote?",IF(J452&lt;=0,"Importo?","✓"))))))</f>
        <v/>
      </c>
      <c r="N452" t="str">
        <f>IF(OR(B452="Acquisto",B452="Vendita"),COUNTIFS($C$5:C452,C452,$B$5:B452,"Acquisto")+COUNTIFS($C$5:C452,C452,$B$5:B452,"Vendita"),"")</f>
        <v/>
      </c>
      <c r="O452" t="str">
        <f>IF(N452="","",C452&amp;"|"&amp;N452)</f>
        <v/>
      </c>
      <c r="P452" t="str">
        <f>IF(N452="","",IF(N452=1,0,MATCH(C452&amp;"|"&amp;(N452-1),$O$5:$O$1004,0)))</f>
        <v/>
      </c>
      <c r="Q452" t="str">
        <f>IF(N452="","",IF(P452=0,SUMIFS(Calcoli!$C$7:$C$21,Calcoli!$A$7:$A$21,C452),INDEX($S$5:$S$1004,P452)))</f>
        <v/>
      </c>
      <c r="R452" t="str">
        <f>IF(N452="","",IF(P452=0,SUMIFS(Calcoli!$D$7:$D$21,Calcoli!$A$7:$A$21,C452),INDEX($T$5:$T$1004,P452)))</f>
        <v/>
      </c>
      <c r="S452" t="str">
        <f>IF(N452="","",IF(B452="Acquisto",Q452+N(D452),MAX(0,Q452-N(D452))))</f>
        <v/>
      </c>
      <c r="T452" t="str">
        <f>IF(N452="","",IF(B452="Acquisto",R452+J452+N(G452),IF(Q452&lt;=0,0,R452*(1-MIN(1,N(D452)/Q452)))))</f>
        <v/>
      </c>
      <c r="U452" t="str">
        <f>IF(B452&lt;&gt;"Vendita","",J452-N(G452)-IF(Q452&lt;=0,0,R452*MIN(1,N(D452)/Q452)))</f>
        <v/>
      </c>
      <c r="V452" t="str">
        <f>IF(B452&lt;&gt;"Dividendo","",IF(Calcoli!$B$251=1,J452,L452))</f>
        <v/>
      </c>
      <c r="W452" t="str">
        <f>IF(AND(V452&lt;&gt;"",ISNUMBER(A452)),A452,"")</f>
        <v/>
      </c>
    </row>
    <row r="453">
      <c r="A453" s="134" t="n"/>
      <c r="B453" s="116" t="n"/>
      <c r="C453" s="116" t="n"/>
      <c r="D453" s="121" t="n"/>
      <c r="E453" s="120" t="n"/>
      <c r="F453" s="120" t="n"/>
      <c r="G453" s="120" t="n"/>
      <c r="H453" s="120" t="n"/>
      <c r="I453" s="117" t="n"/>
      <c r="J453" s="123" t="str">
        <f>IF(B453="","",IF(F453&lt;&gt;"",N(F453),ROUND(N(D453)*N(E453),2)))</f>
        <v/>
      </c>
      <c r="K453" s="123" t="str">
        <f>IF(B453="","",IF(H453&lt;&gt;"",N(H453),IF(B453="Dividendo",ROUND(J453*IFERROR(INDEX(Calcoli!$V$7:$V$21,MATCH(C453,Calcoli!$A$7:$A$21,0)),0.26),2),IF(B453="Vendita",ROUND(MAX(0,U453)*IFERROR(INDEX(Calcoli!$V$7:$V$21,MATCH(C453,Calcoli!$A$7:$A$21,0)),0.26),2),0))))</f>
        <v/>
      </c>
      <c r="L453" s="135" t="str">
        <f>IF(B453="","",IF(B453="Acquisto",-(J453+N(G453)),J453-N(G453)-K453))</f>
        <v/>
      </c>
      <c r="M453" s="127" t="str">
        <f>IF(B453="","",IF(ISNA(MATCH(C453,ETF!$A$7:$A$21,0)),"ETF?",IF(NOT(ISNUMBER(A453)),"Data?",IF(AND(B453&lt;&gt;"Dividendo",N(D453)&lt;=0),"Quote?",IF(AND(B453="Vendita",N(D453)&gt;N(Q453)+0.000001),"Quote?",IF(J453&lt;=0,"Importo?","✓"))))))</f>
        <v/>
      </c>
      <c r="N453" t="str">
        <f>IF(OR(B453="Acquisto",B453="Vendita"),COUNTIFS($C$5:C453,C453,$B$5:B453,"Acquisto")+COUNTIFS($C$5:C453,C453,$B$5:B453,"Vendita"),"")</f>
        <v/>
      </c>
      <c r="O453" t="str">
        <f>IF(N453="","",C453&amp;"|"&amp;N453)</f>
        <v/>
      </c>
      <c r="P453" t="str">
        <f>IF(N453="","",IF(N453=1,0,MATCH(C453&amp;"|"&amp;(N453-1),$O$5:$O$1004,0)))</f>
        <v/>
      </c>
      <c r="Q453" t="str">
        <f>IF(N453="","",IF(P453=0,SUMIFS(Calcoli!$C$7:$C$21,Calcoli!$A$7:$A$21,C453),INDEX($S$5:$S$1004,P453)))</f>
        <v/>
      </c>
      <c r="R453" t="str">
        <f>IF(N453="","",IF(P453=0,SUMIFS(Calcoli!$D$7:$D$21,Calcoli!$A$7:$A$21,C453),INDEX($T$5:$T$1004,P453)))</f>
        <v/>
      </c>
      <c r="S453" t="str">
        <f>IF(N453="","",IF(B453="Acquisto",Q453+N(D453),MAX(0,Q453-N(D453))))</f>
        <v/>
      </c>
      <c r="T453" t="str">
        <f>IF(N453="","",IF(B453="Acquisto",R453+J453+N(G453),IF(Q453&lt;=0,0,R453*(1-MIN(1,N(D453)/Q453)))))</f>
        <v/>
      </c>
      <c r="U453" t="str">
        <f>IF(B453&lt;&gt;"Vendita","",J453-N(G453)-IF(Q453&lt;=0,0,R453*MIN(1,N(D453)/Q453)))</f>
        <v/>
      </c>
      <c r="V453" t="str">
        <f>IF(B453&lt;&gt;"Dividendo","",IF(Calcoli!$B$251=1,J453,L453))</f>
        <v/>
      </c>
      <c r="W453" t="str">
        <f>IF(AND(V453&lt;&gt;"",ISNUMBER(A453)),A453,"")</f>
        <v/>
      </c>
    </row>
    <row r="454">
      <c r="A454" s="134" t="n"/>
      <c r="B454" s="116" t="n"/>
      <c r="C454" s="116" t="n"/>
      <c r="D454" s="121" t="n"/>
      <c r="E454" s="120" t="n"/>
      <c r="F454" s="120" t="n"/>
      <c r="G454" s="120" t="n"/>
      <c r="H454" s="120" t="n"/>
      <c r="I454" s="117" t="n"/>
      <c r="J454" s="123" t="str">
        <f>IF(B454="","",IF(F454&lt;&gt;"",N(F454),ROUND(N(D454)*N(E454),2)))</f>
        <v/>
      </c>
      <c r="K454" s="123" t="str">
        <f>IF(B454="","",IF(H454&lt;&gt;"",N(H454),IF(B454="Dividendo",ROUND(J454*IFERROR(INDEX(Calcoli!$V$7:$V$21,MATCH(C454,Calcoli!$A$7:$A$21,0)),0.26),2),IF(B454="Vendita",ROUND(MAX(0,U454)*IFERROR(INDEX(Calcoli!$V$7:$V$21,MATCH(C454,Calcoli!$A$7:$A$21,0)),0.26),2),0))))</f>
        <v/>
      </c>
      <c r="L454" s="135" t="str">
        <f>IF(B454="","",IF(B454="Acquisto",-(J454+N(G454)),J454-N(G454)-K454))</f>
        <v/>
      </c>
      <c r="M454" s="127" t="str">
        <f>IF(B454="","",IF(ISNA(MATCH(C454,ETF!$A$7:$A$21,0)),"ETF?",IF(NOT(ISNUMBER(A454)),"Data?",IF(AND(B454&lt;&gt;"Dividendo",N(D454)&lt;=0),"Quote?",IF(AND(B454="Vendita",N(D454)&gt;N(Q454)+0.000001),"Quote?",IF(J454&lt;=0,"Importo?","✓"))))))</f>
        <v/>
      </c>
      <c r="N454" t="str">
        <f>IF(OR(B454="Acquisto",B454="Vendita"),COUNTIFS($C$5:C454,C454,$B$5:B454,"Acquisto")+COUNTIFS($C$5:C454,C454,$B$5:B454,"Vendita"),"")</f>
        <v/>
      </c>
      <c r="O454" t="str">
        <f>IF(N454="","",C454&amp;"|"&amp;N454)</f>
        <v/>
      </c>
      <c r="P454" t="str">
        <f>IF(N454="","",IF(N454=1,0,MATCH(C454&amp;"|"&amp;(N454-1),$O$5:$O$1004,0)))</f>
        <v/>
      </c>
      <c r="Q454" t="str">
        <f>IF(N454="","",IF(P454=0,SUMIFS(Calcoli!$C$7:$C$21,Calcoli!$A$7:$A$21,C454),INDEX($S$5:$S$1004,P454)))</f>
        <v/>
      </c>
      <c r="R454" t="str">
        <f>IF(N454="","",IF(P454=0,SUMIFS(Calcoli!$D$7:$D$21,Calcoli!$A$7:$A$21,C454),INDEX($T$5:$T$1004,P454)))</f>
        <v/>
      </c>
      <c r="S454" t="str">
        <f>IF(N454="","",IF(B454="Acquisto",Q454+N(D454),MAX(0,Q454-N(D454))))</f>
        <v/>
      </c>
      <c r="T454" t="str">
        <f>IF(N454="","",IF(B454="Acquisto",R454+J454+N(G454),IF(Q454&lt;=0,0,R454*(1-MIN(1,N(D454)/Q454)))))</f>
        <v/>
      </c>
      <c r="U454" t="str">
        <f>IF(B454&lt;&gt;"Vendita","",J454-N(G454)-IF(Q454&lt;=0,0,R454*MIN(1,N(D454)/Q454)))</f>
        <v/>
      </c>
      <c r="V454" t="str">
        <f>IF(B454&lt;&gt;"Dividendo","",IF(Calcoli!$B$251=1,J454,L454))</f>
        <v/>
      </c>
      <c r="W454" t="str">
        <f>IF(AND(V454&lt;&gt;"",ISNUMBER(A454)),A454,"")</f>
        <v/>
      </c>
    </row>
    <row r="455">
      <c r="A455" s="134" t="n"/>
      <c r="B455" s="116" t="n"/>
      <c r="C455" s="116" t="n"/>
      <c r="D455" s="121" t="n"/>
      <c r="E455" s="120" t="n"/>
      <c r="F455" s="120" t="n"/>
      <c r="G455" s="120" t="n"/>
      <c r="H455" s="120" t="n"/>
      <c r="I455" s="117" t="n"/>
      <c r="J455" s="123" t="str">
        <f>IF(B455="","",IF(F455&lt;&gt;"",N(F455),ROUND(N(D455)*N(E455),2)))</f>
        <v/>
      </c>
      <c r="K455" s="123" t="str">
        <f>IF(B455="","",IF(H455&lt;&gt;"",N(H455),IF(B455="Dividendo",ROUND(J455*IFERROR(INDEX(Calcoli!$V$7:$V$21,MATCH(C455,Calcoli!$A$7:$A$21,0)),0.26),2),IF(B455="Vendita",ROUND(MAX(0,U455)*IFERROR(INDEX(Calcoli!$V$7:$V$21,MATCH(C455,Calcoli!$A$7:$A$21,0)),0.26),2),0))))</f>
        <v/>
      </c>
      <c r="L455" s="135" t="str">
        <f>IF(B455="","",IF(B455="Acquisto",-(J455+N(G455)),J455-N(G455)-K455))</f>
        <v/>
      </c>
      <c r="M455" s="127" t="str">
        <f>IF(B455="","",IF(ISNA(MATCH(C455,ETF!$A$7:$A$21,0)),"ETF?",IF(NOT(ISNUMBER(A455)),"Data?",IF(AND(B455&lt;&gt;"Dividendo",N(D455)&lt;=0),"Quote?",IF(AND(B455="Vendita",N(D455)&gt;N(Q455)+0.000001),"Quote?",IF(J455&lt;=0,"Importo?","✓"))))))</f>
        <v/>
      </c>
      <c r="N455" t="str">
        <f>IF(OR(B455="Acquisto",B455="Vendita"),COUNTIFS($C$5:C455,C455,$B$5:B455,"Acquisto")+COUNTIFS($C$5:C455,C455,$B$5:B455,"Vendita"),"")</f>
        <v/>
      </c>
      <c r="O455" t="str">
        <f>IF(N455="","",C455&amp;"|"&amp;N455)</f>
        <v/>
      </c>
      <c r="P455" t="str">
        <f>IF(N455="","",IF(N455=1,0,MATCH(C455&amp;"|"&amp;(N455-1),$O$5:$O$1004,0)))</f>
        <v/>
      </c>
      <c r="Q455" t="str">
        <f>IF(N455="","",IF(P455=0,SUMIFS(Calcoli!$C$7:$C$21,Calcoli!$A$7:$A$21,C455),INDEX($S$5:$S$1004,P455)))</f>
        <v/>
      </c>
      <c r="R455" t="str">
        <f>IF(N455="","",IF(P455=0,SUMIFS(Calcoli!$D$7:$D$21,Calcoli!$A$7:$A$21,C455),INDEX($T$5:$T$1004,P455)))</f>
        <v/>
      </c>
      <c r="S455" t="str">
        <f>IF(N455="","",IF(B455="Acquisto",Q455+N(D455),MAX(0,Q455-N(D455))))</f>
        <v/>
      </c>
      <c r="T455" t="str">
        <f>IF(N455="","",IF(B455="Acquisto",R455+J455+N(G455),IF(Q455&lt;=0,0,R455*(1-MIN(1,N(D455)/Q455)))))</f>
        <v/>
      </c>
      <c r="U455" t="str">
        <f>IF(B455&lt;&gt;"Vendita","",J455-N(G455)-IF(Q455&lt;=0,0,R455*MIN(1,N(D455)/Q455)))</f>
        <v/>
      </c>
      <c r="V455" t="str">
        <f>IF(B455&lt;&gt;"Dividendo","",IF(Calcoli!$B$251=1,J455,L455))</f>
        <v/>
      </c>
      <c r="W455" t="str">
        <f>IF(AND(V455&lt;&gt;"",ISNUMBER(A455)),A455,"")</f>
        <v/>
      </c>
    </row>
    <row r="456">
      <c r="A456" s="134" t="n"/>
      <c r="B456" s="116" t="n"/>
      <c r="C456" s="116" t="n"/>
      <c r="D456" s="121" t="n"/>
      <c r="E456" s="120" t="n"/>
      <c r="F456" s="120" t="n"/>
      <c r="G456" s="120" t="n"/>
      <c r="H456" s="120" t="n"/>
      <c r="I456" s="117" t="n"/>
      <c r="J456" s="123" t="str">
        <f>IF(B456="","",IF(F456&lt;&gt;"",N(F456),ROUND(N(D456)*N(E456),2)))</f>
        <v/>
      </c>
      <c r="K456" s="123" t="str">
        <f>IF(B456="","",IF(H456&lt;&gt;"",N(H456),IF(B456="Dividendo",ROUND(J456*IFERROR(INDEX(Calcoli!$V$7:$V$21,MATCH(C456,Calcoli!$A$7:$A$21,0)),0.26),2),IF(B456="Vendita",ROUND(MAX(0,U456)*IFERROR(INDEX(Calcoli!$V$7:$V$21,MATCH(C456,Calcoli!$A$7:$A$21,0)),0.26),2),0))))</f>
        <v/>
      </c>
      <c r="L456" s="135" t="str">
        <f>IF(B456="","",IF(B456="Acquisto",-(J456+N(G456)),J456-N(G456)-K456))</f>
        <v/>
      </c>
      <c r="M456" s="127" t="str">
        <f>IF(B456="","",IF(ISNA(MATCH(C456,ETF!$A$7:$A$21,0)),"ETF?",IF(NOT(ISNUMBER(A456)),"Data?",IF(AND(B456&lt;&gt;"Dividendo",N(D456)&lt;=0),"Quote?",IF(AND(B456="Vendita",N(D456)&gt;N(Q456)+0.000001),"Quote?",IF(J456&lt;=0,"Importo?","✓"))))))</f>
        <v/>
      </c>
      <c r="N456" t="str">
        <f>IF(OR(B456="Acquisto",B456="Vendita"),COUNTIFS($C$5:C456,C456,$B$5:B456,"Acquisto")+COUNTIFS($C$5:C456,C456,$B$5:B456,"Vendita"),"")</f>
        <v/>
      </c>
      <c r="O456" t="str">
        <f>IF(N456="","",C456&amp;"|"&amp;N456)</f>
        <v/>
      </c>
      <c r="P456" t="str">
        <f>IF(N456="","",IF(N456=1,0,MATCH(C456&amp;"|"&amp;(N456-1),$O$5:$O$1004,0)))</f>
        <v/>
      </c>
      <c r="Q456" t="str">
        <f>IF(N456="","",IF(P456=0,SUMIFS(Calcoli!$C$7:$C$21,Calcoli!$A$7:$A$21,C456),INDEX($S$5:$S$1004,P456)))</f>
        <v/>
      </c>
      <c r="R456" t="str">
        <f>IF(N456="","",IF(P456=0,SUMIFS(Calcoli!$D$7:$D$21,Calcoli!$A$7:$A$21,C456),INDEX($T$5:$T$1004,P456)))</f>
        <v/>
      </c>
      <c r="S456" t="str">
        <f>IF(N456="","",IF(B456="Acquisto",Q456+N(D456),MAX(0,Q456-N(D456))))</f>
        <v/>
      </c>
      <c r="T456" t="str">
        <f>IF(N456="","",IF(B456="Acquisto",R456+J456+N(G456),IF(Q456&lt;=0,0,R456*(1-MIN(1,N(D456)/Q456)))))</f>
        <v/>
      </c>
      <c r="U456" t="str">
        <f>IF(B456&lt;&gt;"Vendita","",J456-N(G456)-IF(Q456&lt;=0,0,R456*MIN(1,N(D456)/Q456)))</f>
        <v/>
      </c>
      <c r="V456" t="str">
        <f>IF(B456&lt;&gt;"Dividendo","",IF(Calcoli!$B$251=1,J456,L456))</f>
        <v/>
      </c>
      <c r="W456" t="str">
        <f>IF(AND(V456&lt;&gt;"",ISNUMBER(A456)),A456,"")</f>
        <v/>
      </c>
    </row>
    <row r="457">
      <c r="A457" s="134" t="n"/>
      <c r="B457" s="116" t="n"/>
      <c r="C457" s="116" t="n"/>
      <c r="D457" s="121" t="n"/>
      <c r="E457" s="120" t="n"/>
      <c r="F457" s="120" t="n"/>
      <c r="G457" s="120" t="n"/>
      <c r="H457" s="120" t="n"/>
      <c r="I457" s="117" t="n"/>
      <c r="J457" s="123" t="str">
        <f>IF(B457="","",IF(F457&lt;&gt;"",N(F457),ROUND(N(D457)*N(E457),2)))</f>
        <v/>
      </c>
      <c r="K457" s="123" t="str">
        <f>IF(B457="","",IF(H457&lt;&gt;"",N(H457),IF(B457="Dividendo",ROUND(J457*IFERROR(INDEX(Calcoli!$V$7:$V$21,MATCH(C457,Calcoli!$A$7:$A$21,0)),0.26),2),IF(B457="Vendita",ROUND(MAX(0,U457)*IFERROR(INDEX(Calcoli!$V$7:$V$21,MATCH(C457,Calcoli!$A$7:$A$21,0)),0.26),2),0))))</f>
        <v/>
      </c>
      <c r="L457" s="135" t="str">
        <f>IF(B457="","",IF(B457="Acquisto",-(J457+N(G457)),J457-N(G457)-K457))</f>
        <v/>
      </c>
      <c r="M457" s="127" t="str">
        <f>IF(B457="","",IF(ISNA(MATCH(C457,ETF!$A$7:$A$21,0)),"ETF?",IF(NOT(ISNUMBER(A457)),"Data?",IF(AND(B457&lt;&gt;"Dividendo",N(D457)&lt;=0),"Quote?",IF(AND(B457="Vendita",N(D457)&gt;N(Q457)+0.000001),"Quote?",IF(J457&lt;=0,"Importo?","✓"))))))</f>
        <v/>
      </c>
      <c r="N457" t="str">
        <f>IF(OR(B457="Acquisto",B457="Vendita"),COUNTIFS($C$5:C457,C457,$B$5:B457,"Acquisto")+COUNTIFS($C$5:C457,C457,$B$5:B457,"Vendita"),"")</f>
        <v/>
      </c>
      <c r="O457" t="str">
        <f>IF(N457="","",C457&amp;"|"&amp;N457)</f>
        <v/>
      </c>
      <c r="P457" t="str">
        <f>IF(N457="","",IF(N457=1,0,MATCH(C457&amp;"|"&amp;(N457-1),$O$5:$O$1004,0)))</f>
        <v/>
      </c>
      <c r="Q457" t="str">
        <f>IF(N457="","",IF(P457=0,SUMIFS(Calcoli!$C$7:$C$21,Calcoli!$A$7:$A$21,C457),INDEX($S$5:$S$1004,P457)))</f>
        <v/>
      </c>
      <c r="R457" t="str">
        <f>IF(N457="","",IF(P457=0,SUMIFS(Calcoli!$D$7:$D$21,Calcoli!$A$7:$A$21,C457),INDEX($T$5:$T$1004,P457)))</f>
        <v/>
      </c>
      <c r="S457" t="str">
        <f>IF(N457="","",IF(B457="Acquisto",Q457+N(D457),MAX(0,Q457-N(D457))))</f>
        <v/>
      </c>
      <c r="T457" t="str">
        <f>IF(N457="","",IF(B457="Acquisto",R457+J457+N(G457),IF(Q457&lt;=0,0,R457*(1-MIN(1,N(D457)/Q457)))))</f>
        <v/>
      </c>
      <c r="U457" t="str">
        <f>IF(B457&lt;&gt;"Vendita","",J457-N(G457)-IF(Q457&lt;=0,0,R457*MIN(1,N(D457)/Q457)))</f>
        <v/>
      </c>
      <c r="V457" t="str">
        <f>IF(B457&lt;&gt;"Dividendo","",IF(Calcoli!$B$251=1,J457,L457))</f>
        <v/>
      </c>
      <c r="W457" t="str">
        <f>IF(AND(V457&lt;&gt;"",ISNUMBER(A457)),A457,"")</f>
        <v/>
      </c>
    </row>
    <row r="458">
      <c r="A458" s="134" t="n"/>
      <c r="B458" s="116" t="n"/>
      <c r="C458" s="116" t="n"/>
      <c r="D458" s="121" t="n"/>
      <c r="E458" s="120" t="n"/>
      <c r="F458" s="120" t="n"/>
      <c r="G458" s="120" t="n"/>
      <c r="H458" s="120" t="n"/>
      <c r="I458" s="117" t="n"/>
      <c r="J458" s="123" t="str">
        <f>IF(B458="","",IF(F458&lt;&gt;"",N(F458),ROUND(N(D458)*N(E458),2)))</f>
        <v/>
      </c>
      <c r="K458" s="123" t="str">
        <f>IF(B458="","",IF(H458&lt;&gt;"",N(H458),IF(B458="Dividendo",ROUND(J458*IFERROR(INDEX(Calcoli!$V$7:$V$21,MATCH(C458,Calcoli!$A$7:$A$21,0)),0.26),2),IF(B458="Vendita",ROUND(MAX(0,U458)*IFERROR(INDEX(Calcoli!$V$7:$V$21,MATCH(C458,Calcoli!$A$7:$A$21,0)),0.26),2),0))))</f>
        <v/>
      </c>
      <c r="L458" s="135" t="str">
        <f>IF(B458="","",IF(B458="Acquisto",-(J458+N(G458)),J458-N(G458)-K458))</f>
        <v/>
      </c>
      <c r="M458" s="127" t="str">
        <f>IF(B458="","",IF(ISNA(MATCH(C458,ETF!$A$7:$A$21,0)),"ETF?",IF(NOT(ISNUMBER(A458)),"Data?",IF(AND(B458&lt;&gt;"Dividendo",N(D458)&lt;=0),"Quote?",IF(AND(B458="Vendita",N(D458)&gt;N(Q458)+0.000001),"Quote?",IF(J458&lt;=0,"Importo?","✓"))))))</f>
        <v/>
      </c>
      <c r="N458" t="str">
        <f>IF(OR(B458="Acquisto",B458="Vendita"),COUNTIFS($C$5:C458,C458,$B$5:B458,"Acquisto")+COUNTIFS($C$5:C458,C458,$B$5:B458,"Vendita"),"")</f>
        <v/>
      </c>
      <c r="O458" t="str">
        <f>IF(N458="","",C458&amp;"|"&amp;N458)</f>
        <v/>
      </c>
      <c r="P458" t="str">
        <f>IF(N458="","",IF(N458=1,0,MATCH(C458&amp;"|"&amp;(N458-1),$O$5:$O$1004,0)))</f>
        <v/>
      </c>
      <c r="Q458" t="str">
        <f>IF(N458="","",IF(P458=0,SUMIFS(Calcoli!$C$7:$C$21,Calcoli!$A$7:$A$21,C458),INDEX($S$5:$S$1004,P458)))</f>
        <v/>
      </c>
      <c r="R458" t="str">
        <f>IF(N458="","",IF(P458=0,SUMIFS(Calcoli!$D$7:$D$21,Calcoli!$A$7:$A$21,C458),INDEX($T$5:$T$1004,P458)))</f>
        <v/>
      </c>
      <c r="S458" t="str">
        <f>IF(N458="","",IF(B458="Acquisto",Q458+N(D458),MAX(0,Q458-N(D458))))</f>
        <v/>
      </c>
      <c r="T458" t="str">
        <f>IF(N458="","",IF(B458="Acquisto",R458+J458+N(G458),IF(Q458&lt;=0,0,R458*(1-MIN(1,N(D458)/Q458)))))</f>
        <v/>
      </c>
      <c r="U458" t="str">
        <f>IF(B458&lt;&gt;"Vendita","",J458-N(G458)-IF(Q458&lt;=0,0,R458*MIN(1,N(D458)/Q458)))</f>
        <v/>
      </c>
      <c r="V458" t="str">
        <f>IF(B458&lt;&gt;"Dividendo","",IF(Calcoli!$B$251=1,J458,L458))</f>
        <v/>
      </c>
      <c r="W458" t="str">
        <f>IF(AND(V458&lt;&gt;"",ISNUMBER(A458)),A458,"")</f>
        <v/>
      </c>
    </row>
    <row r="459">
      <c r="A459" s="134" t="n"/>
      <c r="B459" s="116" t="n"/>
      <c r="C459" s="116" t="n"/>
      <c r="D459" s="121" t="n"/>
      <c r="E459" s="120" t="n"/>
      <c r="F459" s="120" t="n"/>
      <c r="G459" s="120" t="n"/>
      <c r="H459" s="120" t="n"/>
      <c r="I459" s="117" t="n"/>
      <c r="J459" s="123" t="str">
        <f>IF(B459="","",IF(F459&lt;&gt;"",N(F459),ROUND(N(D459)*N(E459),2)))</f>
        <v/>
      </c>
      <c r="K459" s="123" t="str">
        <f>IF(B459="","",IF(H459&lt;&gt;"",N(H459),IF(B459="Dividendo",ROUND(J459*IFERROR(INDEX(Calcoli!$V$7:$V$21,MATCH(C459,Calcoli!$A$7:$A$21,0)),0.26),2),IF(B459="Vendita",ROUND(MAX(0,U459)*IFERROR(INDEX(Calcoli!$V$7:$V$21,MATCH(C459,Calcoli!$A$7:$A$21,0)),0.26),2),0))))</f>
        <v/>
      </c>
      <c r="L459" s="135" t="str">
        <f>IF(B459="","",IF(B459="Acquisto",-(J459+N(G459)),J459-N(G459)-K459))</f>
        <v/>
      </c>
      <c r="M459" s="127" t="str">
        <f>IF(B459="","",IF(ISNA(MATCH(C459,ETF!$A$7:$A$21,0)),"ETF?",IF(NOT(ISNUMBER(A459)),"Data?",IF(AND(B459&lt;&gt;"Dividendo",N(D459)&lt;=0),"Quote?",IF(AND(B459="Vendita",N(D459)&gt;N(Q459)+0.000001),"Quote?",IF(J459&lt;=0,"Importo?","✓"))))))</f>
        <v/>
      </c>
      <c r="N459" t="str">
        <f>IF(OR(B459="Acquisto",B459="Vendita"),COUNTIFS($C$5:C459,C459,$B$5:B459,"Acquisto")+COUNTIFS($C$5:C459,C459,$B$5:B459,"Vendita"),"")</f>
        <v/>
      </c>
      <c r="O459" t="str">
        <f>IF(N459="","",C459&amp;"|"&amp;N459)</f>
        <v/>
      </c>
      <c r="P459" t="str">
        <f>IF(N459="","",IF(N459=1,0,MATCH(C459&amp;"|"&amp;(N459-1),$O$5:$O$1004,0)))</f>
        <v/>
      </c>
      <c r="Q459" t="str">
        <f>IF(N459="","",IF(P459=0,SUMIFS(Calcoli!$C$7:$C$21,Calcoli!$A$7:$A$21,C459),INDEX($S$5:$S$1004,P459)))</f>
        <v/>
      </c>
      <c r="R459" t="str">
        <f>IF(N459="","",IF(P459=0,SUMIFS(Calcoli!$D$7:$D$21,Calcoli!$A$7:$A$21,C459),INDEX($T$5:$T$1004,P459)))</f>
        <v/>
      </c>
      <c r="S459" t="str">
        <f>IF(N459="","",IF(B459="Acquisto",Q459+N(D459),MAX(0,Q459-N(D459))))</f>
        <v/>
      </c>
      <c r="T459" t="str">
        <f>IF(N459="","",IF(B459="Acquisto",R459+J459+N(G459),IF(Q459&lt;=0,0,R459*(1-MIN(1,N(D459)/Q459)))))</f>
        <v/>
      </c>
      <c r="U459" t="str">
        <f>IF(B459&lt;&gt;"Vendita","",J459-N(G459)-IF(Q459&lt;=0,0,R459*MIN(1,N(D459)/Q459)))</f>
        <v/>
      </c>
      <c r="V459" t="str">
        <f>IF(B459&lt;&gt;"Dividendo","",IF(Calcoli!$B$251=1,J459,L459))</f>
        <v/>
      </c>
      <c r="W459" t="str">
        <f>IF(AND(V459&lt;&gt;"",ISNUMBER(A459)),A459,"")</f>
        <v/>
      </c>
    </row>
    <row r="460">
      <c r="A460" s="134" t="n"/>
      <c r="B460" s="116" t="n"/>
      <c r="C460" s="116" t="n"/>
      <c r="D460" s="121" t="n"/>
      <c r="E460" s="120" t="n"/>
      <c r="F460" s="120" t="n"/>
      <c r="G460" s="120" t="n"/>
      <c r="H460" s="120" t="n"/>
      <c r="I460" s="117" t="n"/>
      <c r="J460" s="123" t="str">
        <f>IF(B460="","",IF(F460&lt;&gt;"",N(F460),ROUND(N(D460)*N(E460),2)))</f>
        <v/>
      </c>
      <c r="K460" s="123" t="str">
        <f>IF(B460="","",IF(H460&lt;&gt;"",N(H460),IF(B460="Dividendo",ROUND(J460*IFERROR(INDEX(Calcoli!$V$7:$V$21,MATCH(C460,Calcoli!$A$7:$A$21,0)),0.26),2),IF(B460="Vendita",ROUND(MAX(0,U460)*IFERROR(INDEX(Calcoli!$V$7:$V$21,MATCH(C460,Calcoli!$A$7:$A$21,0)),0.26),2),0))))</f>
        <v/>
      </c>
      <c r="L460" s="135" t="str">
        <f>IF(B460="","",IF(B460="Acquisto",-(J460+N(G460)),J460-N(G460)-K460))</f>
        <v/>
      </c>
      <c r="M460" s="127" t="str">
        <f>IF(B460="","",IF(ISNA(MATCH(C460,ETF!$A$7:$A$21,0)),"ETF?",IF(NOT(ISNUMBER(A460)),"Data?",IF(AND(B460&lt;&gt;"Dividendo",N(D460)&lt;=0),"Quote?",IF(AND(B460="Vendita",N(D460)&gt;N(Q460)+0.000001),"Quote?",IF(J460&lt;=0,"Importo?","✓"))))))</f>
        <v/>
      </c>
      <c r="N460" t="str">
        <f>IF(OR(B460="Acquisto",B460="Vendita"),COUNTIFS($C$5:C460,C460,$B$5:B460,"Acquisto")+COUNTIFS($C$5:C460,C460,$B$5:B460,"Vendita"),"")</f>
        <v/>
      </c>
      <c r="O460" t="str">
        <f>IF(N460="","",C460&amp;"|"&amp;N460)</f>
        <v/>
      </c>
      <c r="P460" t="str">
        <f>IF(N460="","",IF(N460=1,0,MATCH(C460&amp;"|"&amp;(N460-1),$O$5:$O$1004,0)))</f>
        <v/>
      </c>
      <c r="Q460" t="str">
        <f>IF(N460="","",IF(P460=0,SUMIFS(Calcoli!$C$7:$C$21,Calcoli!$A$7:$A$21,C460),INDEX($S$5:$S$1004,P460)))</f>
        <v/>
      </c>
      <c r="R460" t="str">
        <f>IF(N460="","",IF(P460=0,SUMIFS(Calcoli!$D$7:$D$21,Calcoli!$A$7:$A$21,C460),INDEX($T$5:$T$1004,P460)))</f>
        <v/>
      </c>
      <c r="S460" t="str">
        <f>IF(N460="","",IF(B460="Acquisto",Q460+N(D460),MAX(0,Q460-N(D460))))</f>
        <v/>
      </c>
      <c r="T460" t="str">
        <f>IF(N460="","",IF(B460="Acquisto",R460+J460+N(G460),IF(Q460&lt;=0,0,R460*(1-MIN(1,N(D460)/Q460)))))</f>
        <v/>
      </c>
      <c r="U460" t="str">
        <f>IF(B460&lt;&gt;"Vendita","",J460-N(G460)-IF(Q460&lt;=0,0,R460*MIN(1,N(D460)/Q460)))</f>
        <v/>
      </c>
      <c r="V460" t="str">
        <f>IF(B460&lt;&gt;"Dividendo","",IF(Calcoli!$B$251=1,J460,L460))</f>
        <v/>
      </c>
      <c r="W460" t="str">
        <f>IF(AND(V460&lt;&gt;"",ISNUMBER(A460)),A460,"")</f>
        <v/>
      </c>
    </row>
    <row r="461">
      <c r="A461" s="134" t="n"/>
      <c r="B461" s="116" t="n"/>
      <c r="C461" s="116" t="n"/>
      <c r="D461" s="121" t="n"/>
      <c r="E461" s="120" t="n"/>
      <c r="F461" s="120" t="n"/>
      <c r="G461" s="120" t="n"/>
      <c r="H461" s="120" t="n"/>
      <c r="I461" s="117" t="n"/>
      <c r="J461" s="123" t="str">
        <f>IF(B461="","",IF(F461&lt;&gt;"",N(F461),ROUND(N(D461)*N(E461),2)))</f>
        <v/>
      </c>
      <c r="K461" s="123" t="str">
        <f>IF(B461="","",IF(H461&lt;&gt;"",N(H461),IF(B461="Dividendo",ROUND(J461*IFERROR(INDEX(Calcoli!$V$7:$V$21,MATCH(C461,Calcoli!$A$7:$A$21,0)),0.26),2),IF(B461="Vendita",ROUND(MAX(0,U461)*IFERROR(INDEX(Calcoli!$V$7:$V$21,MATCH(C461,Calcoli!$A$7:$A$21,0)),0.26),2),0))))</f>
        <v/>
      </c>
      <c r="L461" s="135" t="str">
        <f>IF(B461="","",IF(B461="Acquisto",-(J461+N(G461)),J461-N(G461)-K461))</f>
        <v/>
      </c>
      <c r="M461" s="127" t="str">
        <f>IF(B461="","",IF(ISNA(MATCH(C461,ETF!$A$7:$A$21,0)),"ETF?",IF(NOT(ISNUMBER(A461)),"Data?",IF(AND(B461&lt;&gt;"Dividendo",N(D461)&lt;=0),"Quote?",IF(AND(B461="Vendita",N(D461)&gt;N(Q461)+0.000001),"Quote?",IF(J461&lt;=0,"Importo?","✓"))))))</f>
        <v/>
      </c>
      <c r="N461" t="str">
        <f>IF(OR(B461="Acquisto",B461="Vendita"),COUNTIFS($C$5:C461,C461,$B$5:B461,"Acquisto")+COUNTIFS($C$5:C461,C461,$B$5:B461,"Vendita"),"")</f>
        <v/>
      </c>
      <c r="O461" t="str">
        <f>IF(N461="","",C461&amp;"|"&amp;N461)</f>
        <v/>
      </c>
      <c r="P461" t="str">
        <f>IF(N461="","",IF(N461=1,0,MATCH(C461&amp;"|"&amp;(N461-1),$O$5:$O$1004,0)))</f>
        <v/>
      </c>
      <c r="Q461" t="str">
        <f>IF(N461="","",IF(P461=0,SUMIFS(Calcoli!$C$7:$C$21,Calcoli!$A$7:$A$21,C461),INDEX($S$5:$S$1004,P461)))</f>
        <v/>
      </c>
      <c r="R461" t="str">
        <f>IF(N461="","",IF(P461=0,SUMIFS(Calcoli!$D$7:$D$21,Calcoli!$A$7:$A$21,C461),INDEX($T$5:$T$1004,P461)))</f>
        <v/>
      </c>
      <c r="S461" t="str">
        <f>IF(N461="","",IF(B461="Acquisto",Q461+N(D461),MAX(0,Q461-N(D461))))</f>
        <v/>
      </c>
      <c r="T461" t="str">
        <f>IF(N461="","",IF(B461="Acquisto",R461+J461+N(G461),IF(Q461&lt;=0,0,R461*(1-MIN(1,N(D461)/Q461)))))</f>
        <v/>
      </c>
      <c r="U461" t="str">
        <f>IF(B461&lt;&gt;"Vendita","",J461-N(G461)-IF(Q461&lt;=0,0,R461*MIN(1,N(D461)/Q461)))</f>
        <v/>
      </c>
      <c r="V461" t="str">
        <f>IF(B461&lt;&gt;"Dividendo","",IF(Calcoli!$B$251=1,J461,L461))</f>
        <v/>
      </c>
      <c r="W461" t="str">
        <f>IF(AND(V461&lt;&gt;"",ISNUMBER(A461)),A461,"")</f>
        <v/>
      </c>
    </row>
    <row r="462">
      <c r="A462" s="134" t="n"/>
      <c r="B462" s="116" t="n"/>
      <c r="C462" s="116" t="n"/>
      <c r="D462" s="121" t="n"/>
      <c r="E462" s="120" t="n"/>
      <c r="F462" s="120" t="n"/>
      <c r="G462" s="120" t="n"/>
      <c r="H462" s="120" t="n"/>
      <c r="I462" s="117" t="n"/>
      <c r="J462" s="123" t="str">
        <f>IF(B462="","",IF(F462&lt;&gt;"",N(F462),ROUND(N(D462)*N(E462),2)))</f>
        <v/>
      </c>
      <c r="K462" s="123" t="str">
        <f>IF(B462="","",IF(H462&lt;&gt;"",N(H462),IF(B462="Dividendo",ROUND(J462*IFERROR(INDEX(Calcoli!$V$7:$V$21,MATCH(C462,Calcoli!$A$7:$A$21,0)),0.26),2),IF(B462="Vendita",ROUND(MAX(0,U462)*IFERROR(INDEX(Calcoli!$V$7:$V$21,MATCH(C462,Calcoli!$A$7:$A$21,0)),0.26),2),0))))</f>
        <v/>
      </c>
      <c r="L462" s="135" t="str">
        <f>IF(B462="","",IF(B462="Acquisto",-(J462+N(G462)),J462-N(G462)-K462))</f>
        <v/>
      </c>
      <c r="M462" s="127" t="str">
        <f>IF(B462="","",IF(ISNA(MATCH(C462,ETF!$A$7:$A$21,0)),"ETF?",IF(NOT(ISNUMBER(A462)),"Data?",IF(AND(B462&lt;&gt;"Dividendo",N(D462)&lt;=0),"Quote?",IF(AND(B462="Vendita",N(D462)&gt;N(Q462)+0.000001),"Quote?",IF(J462&lt;=0,"Importo?","✓"))))))</f>
        <v/>
      </c>
      <c r="N462" t="str">
        <f>IF(OR(B462="Acquisto",B462="Vendita"),COUNTIFS($C$5:C462,C462,$B$5:B462,"Acquisto")+COUNTIFS($C$5:C462,C462,$B$5:B462,"Vendita"),"")</f>
        <v/>
      </c>
      <c r="O462" t="str">
        <f>IF(N462="","",C462&amp;"|"&amp;N462)</f>
        <v/>
      </c>
      <c r="P462" t="str">
        <f>IF(N462="","",IF(N462=1,0,MATCH(C462&amp;"|"&amp;(N462-1),$O$5:$O$1004,0)))</f>
        <v/>
      </c>
      <c r="Q462" t="str">
        <f>IF(N462="","",IF(P462=0,SUMIFS(Calcoli!$C$7:$C$21,Calcoli!$A$7:$A$21,C462),INDEX($S$5:$S$1004,P462)))</f>
        <v/>
      </c>
      <c r="R462" t="str">
        <f>IF(N462="","",IF(P462=0,SUMIFS(Calcoli!$D$7:$D$21,Calcoli!$A$7:$A$21,C462),INDEX($T$5:$T$1004,P462)))</f>
        <v/>
      </c>
      <c r="S462" t="str">
        <f>IF(N462="","",IF(B462="Acquisto",Q462+N(D462),MAX(0,Q462-N(D462))))</f>
        <v/>
      </c>
      <c r="T462" t="str">
        <f>IF(N462="","",IF(B462="Acquisto",R462+J462+N(G462),IF(Q462&lt;=0,0,R462*(1-MIN(1,N(D462)/Q462)))))</f>
        <v/>
      </c>
      <c r="U462" t="str">
        <f>IF(B462&lt;&gt;"Vendita","",J462-N(G462)-IF(Q462&lt;=0,0,R462*MIN(1,N(D462)/Q462)))</f>
        <v/>
      </c>
      <c r="V462" t="str">
        <f>IF(B462&lt;&gt;"Dividendo","",IF(Calcoli!$B$251=1,J462,L462))</f>
        <v/>
      </c>
      <c r="W462" t="str">
        <f>IF(AND(V462&lt;&gt;"",ISNUMBER(A462)),A462,"")</f>
        <v/>
      </c>
    </row>
    <row r="463">
      <c r="A463" s="134" t="n"/>
      <c r="B463" s="116" t="n"/>
      <c r="C463" s="116" t="n"/>
      <c r="D463" s="121" t="n"/>
      <c r="E463" s="120" t="n"/>
      <c r="F463" s="120" t="n"/>
      <c r="G463" s="120" t="n"/>
      <c r="H463" s="120" t="n"/>
      <c r="I463" s="117" t="n"/>
      <c r="J463" s="123" t="str">
        <f>IF(B463="","",IF(F463&lt;&gt;"",N(F463),ROUND(N(D463)*N(E463),2)))</f>
        <v/>
      </c>
      <c r="K463" s="123" t="str">
        <f>IF(B463="","",IF(H463&lt;&gt;"",N(H463),IF(B463="Dividendo",ROUND(J463*IFERROR(INDEX(Calcoli!$V$7:$V$21,MATCH(C463,Calcoli!$A$7:$A$21,0)),0.26),2),IF(B463="Vendita",ROUND(MAX(0,U463)*IFERROR(INDEX(Calcoli!$V$7:$V$21,MATCH(C463,Calcoli!$A$7:$A$21,0)),0.26),2),0))))</f>
        <v/>
      </c>
      <c r="L463" s="135" t="str">
        <f>IF(B463="","",IF(B463="Acquisto",-(J463+N(G463)),J463-N(G463)-K463))</f>
        <v/>
      </c>
      <c r="M463" s="127" t="str">
        <f>IF(B463="","",IF(ISNA(MATCH(C463,ETF!$A$7:$A$21,0)),"ETF?",IF(NOT(ISNUMBER(A463)),"Data?",IF(AND(B463&lt;&gt;"Dividendo",N(D463)&lt;=0),"Quote?",IF(AND(B463="Vendita",N(D463)&gt;N(Q463)+0.000001),"Quote?",IF(J463&lt;=0,"Importo?","✓"))))))</f>
        <v/>
      </c>
      <c r="N463" t="str">
        <f>IF(OR(B463="Acquisto",B463="Vendita"),COUNTIFS($C$5:C463,C463,$B$5:B463,"Acquisto")+COUNTIFS($C$5:C463,C463,$B$5:B463,"Vendita"),"")</f>
        <v/>
      </c>
      <c r="O463" t="str">
        <f>IF(N463="","",C463&amp;"|"&amp;N463)</f>
        <v/>
      </c>
      <c r="P463" t="str">
        <f>IF(N463="","",IF(N463=1,0,MATCH(C463&amp;"|"&amp;(N463-1),$O$5:$O$1004,0)))</f>
        <v/>
      </c>
      <c r="Q463" t="str">
        <f>IF(N463="","",IF(P463=0,SUMIFS(Calcoli!$C$7:$C$21,Calcoli!$A$7:$A$21,C463),INDEX($S$5:$S$1004,P463)))</f>
        <v/>
      </c>
      <c r="R463" t="str">
        <f>IF(N463="","",IF(P463=0,SUMIFS(Calcoli!$D$7:$D$21,Calcoli!$A$7:$A$21,C463),INDEX($T$5:$T$1004,P463)))</f>
        <v/>
      </c>
      <c r="S463" t="str">
        <f>IF(N463="","",IF(B463="Acquisto",Q463+N(D463),MAX(0,Q463-N(D463))))</f>
        <v/>
      </c>
      <c r="T463" t="str">
        <f>IF(N463="","",IF(B463="Acquisto",R463+J463+N(G463),IF(Q463&lt;=0,0,R463*(1-MIN(1,N(D463)/Q463)))))</f>
        <v/>
      </c>
      <c r="U463" t="str">
        <f>IF(B463&lt;&gt;"Vendita","",J463-N(G463)-IF(Q463&lt;=0,0,R463*MIN(1,N(D463)/Q463)))</f>
        <v/>
      </c>
      <c r="V463" t="str">
        <f>IF(B463&lt;&gt;"Dividendo","",IF(Calcoli!$B$251=1,J463,L463))</f>
        <v/>
      </c>
      <c r="W463" t="str">
        <f>IF(AND(V463&lt;&gt;"",ISNUMBER(A463)),A463,"")</f>
        <v/>
      </c>
    </row>
    <row r="464">
      <c r="A464" s="134" t="n"/>
      <c r="B464" s="116" t="n"/>
      <c r="C464" s="116" t="n"/>
      <c r="D464" s="121" t="n"/>
      <c r="E464" s="120" t="n"/>
      <c r="F464" s="120" t="n"/>
      <c r="G464" s="120" t="n"/>
      <c r="H464" s="120" t="n"/>
      <c r="I464" s="117" t="n"/>
      <c r="J464" s="123" t="str">
        <f>IF(B464="","",IF(F464&lt;&gt;"",N(F464),ROUND(N(D464)*N(E464),2)))</f>
        <v/>
      </c>
      <c r="K464" s="123" t="str">
        <f>IF(B464="","",IF(H464&lt;&gt;"",N(H464),IF(B464="Dividendo",ROUND(J464*IFERROR(INDEX(Calcoli!$V$7:$V$21,MATCH(C464,Calcoli!$A$7:$A$21,0)),0.26),2),IF(B464="Vendita",ROUND(MAX(0,U464)*IFERROR(INDEX(Calcoli!$V$7:$V$21,MATCH(C464,Calcoli!$A$7:$A$21,0)),0.26),2),0))))</f>
        <v/>
      </c>
      <c r="L464" s="135" t="str">
        <f>IF(B464="","",IF(B464="Acquisto",-(J464+N(G464)),J464-N(G464)-K464))</f>
        <v/>
      </c>
      <c r="M464" s="127" t="str">
        <f>IF(B464="","",IF(ISNA(MATCH(C464,ETF!$A$7:$A$21,0)),"ETF?",IF(NOT(ISNUMBER(A464)),"Data?",IF(AND(B464&lt;&gt;"Dividendo",N(D464)&lt;=0),"Quote?",IF(AND(B464="Vendita",N(D464)&gt;N(Q464)+0.000001),"Quote?",IF(J464&lt;=0,"Importo?","✓"))))))</f>
        <v/>
      </c>
      <c r="N464" t="str">
        <f>IF(OR(B464="Acquisto",B464="Vendita"),COUNTIFS($C$5:C464,C464,$B$5:B464,"Acquisto")+COUNTIFS($C$5:C464,C464,$B$5:B464,"Vendita"),"")</f>
        <v/>
      </c>
      <c r="O464" t="str">
        <f>IF(N464="","",C464&amp;"|"&amp;N464)</f>
        <v/>
      </c>
      <c r="P464" t="str">
        <f>IF(N464="","",IF(N464=1,0,MATCH(C464&amp;"|"&amp;(N464-1),$O$5:$O$1004,0)))</f>
        <v/>
      </c>
      <c r="Q464" t="str">
        <f>IF(N464="","",IF(P464=0,SUMIFS(Calcoli!$C$7:$C$21,Calcoli!$A$7:$A$21,C464),INDEX($S$5:$S$1004,P464)))</f>
        <v/>
      </c>
      <c r="R464" t="str">
        <f>IF(N464="","",IF(P464=0,SUMIFS(Calcoli!$D$7:$D$21,Calcoli!$A$7:$A$21,C464),INDEX($T$5:$T$1004,P464)))</f>
        <v/>
      </c>
      <c r="S464" t="str">
        <f>IF(N464="","",IF(B464="Acquisto",Q464+N(D464),MAX(0,Q464-N(D464))))</f>
        <v/>
      </c>
      <c r="T464" t="str">
        <f>IF(N464="","",IF(B464="Acquisto",R464+J464+N(G464),IF(Q464&lt;=0,0,R464*(1-MIN(1,N(D464)/Q464)))))</f>
        <v/>
      </c>
      <c r="U464" t="str">
        <f>IF(B464&lt;&gt;"Vendita","",J464-N(G464)-IF(Q464&lt;=0,0,R464*MIN(1,N(D464)/Q464)))</f>
        <v/>
      </c>
      <c r="V464" t="str">
        <f>IF(B464&lt;&gt;"Dividendo","",IF(Calcoli!$B$251=1,J464,L464))</f>
        <v/>
      </c>
      <c r="W464" t="str">
        <f>IF(AND(V464&lt;&gt;"",ISNUMBER(A464)),A464,"")</f>
        <v/>
      </c>
    </row>
    <row r="465">
      <c r="A465" s="134" t="n"/>
      <c r="B465" s="116" t="n"/>
      <c r="C465" s="116" t="n"/>
      <c r="D465" s="121" t="n"/>
      <c r="E465" s="120" t="n"/>
      <c r="F465" s="120" t="n"/>
      <c r="G465" s="120" t="n"/>
      <c r="H465" s="120" t="n"/>
      <c r="I465" s="117" t="n"/>
      <c r="J465" s="123" t="str">
        <f>IF(B465="","",IF(F465&lt;&gt;"",N(F465),ROUND(N(D465)*N(E465),2)))</f>
        <v/>
      </c>
      <c r="K465" s="123" t="str">
        <f>IF(B465="","",IF(H465&lt;&gt;"",N(H465),IF(B465="Dividendo",ROUND(J465*IFERROR(INDEX(Calcoli!$V$7:$V$21,MATCH(C465,Calcoli!$A$7:$A$21,0)),0.26),2),IF(B465="Vendita",ROUND(MAX(0,U465)*IFERROR(INDEX(Calcoli!$V$7:$V$21,MATCH(C465,Calcoli!$A$7:$A$21,0)),0.26),2),0))))</f>
        <v/>
      </c>
      <c r="L465" s="135" t="str">
        <f>IF(B465="","",IF(B465="Acquisto",-(J465+N(G465)),J465-N(G465)-K465))</f>
        <v/>
      </c>
      <c r="M465" s="127" t="str">
        <f>IF(B465="","",IF(ISNA(MATCH(C465,ETF!$A$7:$A$21,0)),"ETF?",IF(NOT(ISNUMBER(A465)),"Data?",IF(AND(B465&lt;&gt;"Dividendo",N(D465)&lt;=0),"Quote?",IF(AND(B465="Vendita",N(D465)&gt;N(Q465)+0.000001),"Quote?",IF(J465&lt;=0,"Importo?","✓"))))))</f>
        <v/>
      </c>
      <c r="N465" t="str">
        <f>IF(OR(B465="Acquisto",B465="Vendita"),COUNTIFS($C$5:C465,C465,$B$5:B465,"Acquisto")+COUNTIFS($C$5:C465,C465,$B$5:B465,"Vendita"),"")</f>
        <v/>
      </c>
      <c r="O465" t="str">
        <f>IF(N465="","",C465&amp;"|"&amp;N465)</f>
        <v/>
      </c>
      <c r="P465" t="str">
        <f>IF(N465="","",IF(N465=1,0,MATCH(C465&amp;"|"&amp;(N465-1),$O$5:$O$1004,0)))</f>
        <v/>
      </c>
      <c r="Q465" t="str">
        <f>IF(N465="","",IF(P465=0,SUMIFS(Calcoli!$C$7:$C$21,Calcoli!$A$7:$A$21,C465),INDEX($S$5:$S$1004,P465)))</f>
        <v/>
      </c>
      <c r="R465" t="str">
        <f>IF(N465="","",IF(P465=0,SUMIFS(Calcoli!$D$7:$D$21,Calcoli!$A$7:$A$21,C465),INDEX($T$5:$T$1004,P465)))</f>
        <v/>
      </c>
      <c r="S465" t="str">
        <f>IF(N465="","",IF(B465="Acquisto",Q465+N(D465),MAX(0,Q465-N(D465))))</f>
        <v/>
      </c>
      <c r="T465" t="str">
        <f>IF(N465="","",IF(B465="Acquisto",R465+J465+N(G465),IF(Q465&lt;=0,0,R465*(1-MIN(1,N(D465)/Q465)))))</f>
        <v/>
      </c>
      <c r="U465" t="str">
        <f>IF(B465&lt;&gt;"Vendita","",J465-N(G465)-IF(Q465&lt;=0,0,R465*MIN(1,N(D465)/Q465)))</f>
        <v/>
      </c>
      <c r="V465" t="str">
        <f>IF(B465&lt;&gt;"Dividendo","",IF(Calcoli!$B$251=1,J465,L465))</f>
        <v/>
      </c>
      <c r="W465" t="str">
        <f>IF(AND(V465&lt;&gt;"",ISNUMBER(A465)),A465,"")</f>
        <v/>
      </c>
    </row>
    <row r="466">
      <c r="A466" s="134" t="n"/>
      <c r="B466" s="116" t="n"/>
      <c r="C466" s="116" t="n"/>
      <c r="D466" s="121" t="n"/>
      <c r="E466" s="120" t="n"/>
      <c r="F466" s="120" t="n"/>
      <c r="G466" s="120" t="n"/>
      <c r="H466" s="120" t="n"/>
      <c r="I466" s="117" t="n"/>
      <c r="J466" s="123" t="str">
        <f>IF(B466="","",IF(F466&lt;&gt;"",N(F466),ROUND(N(D466)*N(E466),2)))</f>
        <v/>
      </c>
      <c r="K466" s="123" t="str">
        <f>IF(B466="","",IF(H466&lt;&gt;"",N(H466),IF(B466="Dividendo",ROUND(J466*IFERROR(INDEX(Calcoli!$V$7:$V$21,MATCH(C466,Calcoli!$A$7:$A$21,0)),0.26),2),IF(B466="Vendita",ROUND(MAX(0,U466)*IFERROR(INDEX(Calcoli!$V$7:$V$21,MATCH(C466,Calcoli!$A$7:$A$21,0)),0.26),2),0))))</f>
        <v/>
      </c>
      <c r="L466" s="135" t="str">
        <f>IF(B466="","",IF(B466="Acquisto",-(J466+N(G466)),J466-N(G466)-K466))</f>
        <v/>
      </c>
      <c r="M466" s="127" t="str">
        <f>IF(B466="","",IF(ISNA(MATCH(C466,ETF!$A$7:$A$21,0)),"ETF?",IF(NOT(ISNUMBER(A466)),"Data?",IF(AND(B466&lt;&gt;"Dividendo",N(D466)&lt;=0),"Quote?",IF(AND(B466="Vendita",N(D466)&gt;N(Q466)+0.000001),"Quote?",IF(J466&lt;=0,"Importo?","✓"))))))</f>
        <v/>
      </c>
      <c r="N466" t="str">
        <f>IF(OR(B466="Acquisto",B466="Vendita"),COUNTIFS($C$5:C466,C466,$B$5:B466,"Acquisto")+COUNTIFS($C$5:C466,C466,$B$5:B466,"Vendita"),"")</f>
        <v/>
      </c>
      <c r="O466" t="str">
        <f>IF(N466="","",C466&amp;"|"&amp;N466)</f>
        <v/>
      </c>
      <c r="P466" t="str">
        <f>IF(N466="","",IF(N466=1,0,MATCH(C466&amp;"|"&amp;(N466-1),$O$5:$O$1004,0)))</f>
        <v/>
      </c>
      <c r="Q466" t="str">
        <f>IF(N466="","",IF(P466=0,SUMIFS(Calcoli!$C$7:$C$21,Calcoli!$A$7:$A$21,C466),INDEX($S$5:$S$1004,P466)))</f>
        <v/>
      </c>
      <c r="R466" t="str">
        <f>IF(N466="","",IF(P466=0,SUMIFS(Calcoli!$D$7:$D$21,Calcoli!$A$7:$A$21,C466),INDEX($T$5:$T$1004,P466)))</f>
        <v/>
      </c>
      <c r="S466" t="str">
        <f>IF(N466="","",IF(B466="Acquisto",Q466+N(D466),MAX(0,Q466-N(D466))))</f>
        <v/>
      </c>
      <c r="T466" t="str">
        <f>IF(N466="","",IF(B466="Acquisto",R466+J466+N(G466),IF(Q466&lt;=0,0,R466*(1-MIN(1,N(D466)/Q466)))))</f>
        <v/>
      </c>
      <c r="U466" t="str">
        <f>IF(B466&lt;&gt;"Vendita","",J466-N(G466)-IF(Q466&lt;=0,0,R466*MIN(1,N(D466)/Q466)))</f>
        <v/>
      </c>
      <c r="V466" t="str">
        <f>IF(B466&lt;&gt;"Dividendo","",IF(Calcoli!$B$251=1,J466,L466))</f>
        <v/>
      </c>
      <c r="W466" t="str">
        <f>IF(AND(V466&lt;&gt;"",ISNUMBER(A466)),A466,"")</f>
        <v/>
      </c>
    </row>
    <row r="467">
      <c r="A467" s="134" t="n"/>
      <c r="B467" s="116" t="n"/>
      <c r="C467" s="116" t="n"/>
      <c r="D467" s="121" t="n"/>
      <c r="E467" s="120" t="n"/>
      <c r="F467" s="120" t="n"/>
      <c r="G467" s="120" t="n"/>
      <c r="H467" s="120" t="n"/>
      <c r="I467" s="117" t="n"/>
      <c r="J467" s="123" t="str">
        <f>IF(B467="","",IF(F467&lt;&gt;"",N(F467),ROUND(N(D467)*N(E467),2)))</f>
        <v/>
      </c>
      <c r="K467" s="123" t="str">
        <f>IF(B467="","",IF(H467&lt;&gt;"",N(H467),IF(B467="Dividendo",ROUND(J467*IFERROR(INDEX(Calcoli!$V$7:$V$21,MATCH(C467,Calcoli!$A$7:$A$21,0)),0.26),2),IF(B467="Vendita",ROUND(MAX(0,U467)*IFERROR(INDEX(Calcoli!$V$7:$V$21,MATCH(C467,Calcoli!$A$7:$A$21,0)),0.26),2),0))))</f>
        <v/>
      </c>
      <c r="L467" s="135" t="str">
        <f>IF(B467="","",IF(B467="Acquisto",-(J467+N(G467)),J467-N(G467)-K467))</f>
        <v/>
      </c>
      <c r="M467" s="127" t="str">
        <f>IF(B467="","",IF(ISNA(MATCH(C467,ETF!$A$7:$A$21,0)),"ETF?",IF(NOT(ISNUMBER(A467)),"Data?",IF(AND(B467&lt;&gt;"Dividendo",N(D467)&lt;=0),"Quote?",IF(AND(B467="Vendita",N(D467)&gt;N(Q467)+0.000001),"Quote?",IF(J467&lt;=0,"Importo?","✓"))))))</f>
        <v/>
      </c>
      <c r="N467" t="str">
        <f>IF(OR(B467="Acquisto",B467="Vendita"),COUNTIFS($C$5:C467,C467,$B$5:B467,"Acquisto")+COUNTIFS($C$5:C467,C467,$B$5:B467,"Vendita"),"")</f>
        <v/>
      </c>
      <c r="O467" t="str">
        <f>IF(N467="","",C467&amp;"|"&amp;N467)</f>
        <v/>
      </c>
      <c r="P467" t="str">
        <f>IF(N467="","",IF(N467=1,0,MATCH(C467&amp;"|"&amp;(N467-1),$O$5:$O$1004,0)))</f>
        <v/>
      </c>
      <c r="Q467" t="str">
        <f>IF(N467="","",IF(P467=0,SUMIFS(Calcoli!$C$7:$C$21,Calcoli!$A$7:$A$21,C467),INDEX($S$5:$S$1004,P467)))</f>
        <v/>
      </c>
      <c r="R467" t="str">
        <f>IF(N467="","",IF(P467=0,SUMIFS(Calcoli!$D$7:$D$21,Calcoli!$A$7:$A$21,C467),INDEX($T$5:$T$1004,P467)))</f>
        <v/>
      </c>
      <c r="S467" t="str">
        <f>IF(N467="","",IF(B467="Acquisto",Q467+N(D467),MAX(0,Q467-N(D467))))</f>
        <v/>
      </c>
      <c r="T467" t="str">
        <f>IF(N467="","",IF(B467="Acquisto",R467+J467+N(G467),IF(Q467&lt;=0,0,R467*(1-MIN(1,N(D467)/Q467)))))</f>
        <v/>
      </c>
      <c r="U467" t="str">
        <f>IF(B467&lt;&gt;"Vendita","",J467-N(G467)-IF(Q467&lt;=0,0,R467*MIN(1,N(D467)/Q467)))</f>
        <v/>
      </c>
      <c r="V467" t="str">
        <f>IF(B467&lt;&gt;"Dividendo","",IF(Calcoli!$B$251=1,J467,L467))</f>
        <v/>
      </c>
      <c r="W467" t="str">
        <f>IF(AND(V467&lt;&gt;"",ISNUMBER(A467)),A467,"")</f>
        <v/>
      </c>
    </row>
    <row r="468">
      <c r="A468" s="134" t="n"/>
      <c r="B468" s="116" t="n"/>
      <c r="C468" s="116" t="n"/>
      <c r="D468" s="121" t="n"/>
      <c r="E468" s="120" t="n"/>
      <c r="F468" s="120" t="n"/>
      <c r="G468" s="120" t="n"/>
      <c r="H468" s="120" t="n"/>
      <c r="I468" s="117" t="n"/>
      <c r="J468" s="123" t="str">
        <f>IF(B468="","",IF(F468&lt;&gt;"",N(F468),ROUND(N(D468)*N(E468),2)))</f>
        <v/>
      </c>
      <c r="K468" s="123" t="str">
        <f>IF(B468="","",IF(H468&lt;&gt;"",N(H468),IF(B468="Dividendo",ROUND(J468*IFERROR(INDEX(Calcoli!$V$7:$V$21,MATCH(C468,Calcoli!$A$7:$A$21,0)),0.26),2),IF(B468="Vendita",ROUND(MAX(0,U468)*IFERROR(INDEX(Calcoli!$V$7:$V$21,MATCH(C468,Calcoli!$A$7:$A$21,0)),0.26),2),0))))</f>
        <v/>
      </c>
      <c r="L468" s="135" t="str">
        <f>IF(B468="","",IF(B468="Acquisto",-(J468+N(G468)),J468-N(G468)-K468))</f>
        <v/>
      </c>
      <c r="M468" s="127" t="str">
        <f>IF(B468="","",IF(ISNA(MATCH(C468,ETF!$A$7:$A$21,0)),"ETF?",IF(NOT(ISNUMBER(A468)),"Data?",IF(AND(B468&lt;&gt;"Dividendo",N(D468)&lt;=0),"Quote?",IF(AND(B468="Vendita",N(D468)&gt;N(Q468)+0.000001),"Quote?",IF(J468&lt;=0,"Importo?","✓"))))))</f>
        <v/>
      </c>
      <c r="N468" t="str">
        <f>IF(OR(B468="Acquisto",B468="Vendita"),COUNTIFS($C$5:C468,C468,$B$5:B468,"Acquisto")+COUNTIFS($C$5:C468,C468,$B$5:B468,"Vendita"),"")</f>
        <v/>
      </c>
      <c r="O468" t="str">
        <f>IF(N468="","",C468&amp;"|"&amp;N468)</f>
        <v/>
      </c>
      <c r="P468" t="str">
        <f>IF(N468="","",IF(N468=1,0,MATCH(C468&amp;"|"&amp;(N468-1),$O$5:$O$1004,0)))</f>
        <v/>
      </c>
      <c r="Q468" t="str">
        <f>IF(N468="","",IF(P468=0,SUMIFS(Calcoli!$C$7:$C$21,Calcoli!$A$7:$A$21,C468),INDEX($S$5:$S$1004,P468)))</f>
        <v/>
      </c>
      <c r="R468" t="str">
        <f>IF(N468="","",IF(P468=0,SUMIFS(Calcoli!$D$7:$D$21,Calcoli!$A$7:$A$21,C468),INDEX($T$5:$T$1004,P468)))</f>
        <v/>
      </c>
      <c r="S468" t="str">
        <f>IF(N468="","",IF(B468="Acquisto",Q468+N(D468),MAX(0,Q468-N(D468))))</f>
        <v/>
      </c>
      <c r="T468" t="str">
        <f>IF(N468="","",IF(B468="Acquisto",R468+J468+N(G468),IF(Q468&lt;=0,0,R468*(1-MIN(1,N(D468)/Q468)))))</f>
        <v/>
      </c>
      <c r="U468" t="str">
        <f>IF(B468&lt;&gt;"Vendita","",J468-N(G468)-IF(Q468&lt;=0,0,R468*MIN(1,N(D468)/Q468)))</f>
        <v/>
      </c>
      <c r="V468" t="str">
        <f>IF(B468&lt;&gt;"Dividendo","",IF(Calcoli!$B$251=1,J468,L468))</f>
        <v/>
      </c>
      <c r="W468" t="str">
        <f>IF(AND(V468&lt;&gt;"",ISNUMBER(A468)),A468,"")</f>
        <v/>
      </c>
    </row>
    <row r="469">
      <c r="A469" s="134" t="n"/>
      <c r="B469" s="116" t="n"/>
      <c r="C469" s="116" t="n"/>
      <c r="D469" s="121" t="n"/>
      <c r="E469" s="120" t="n"/>
      <c r="F469" s="120" t="n"/>
      <c r="G469" s="120" t="n"/>
      <c r="H469" s="120" t="n"/>
      <c r="I469" s="117" t="n"/>
      <c r="J469" s="123" t="str">
        <f>IF(B469="","",IF(F469&lt;&gt;"",N(F469),ROUND(N(D469)*N(E469),2)))</f>
        <v/>
      </c>
      <c r="K469" s="123" t="str">
        <f>IF(B469="","",IF(H469&lt;&gt;"",N(H469),IF(B469="Dividendo",ROUND(J469*IFERROR(INDEX(Calcoli!$V$7:$V$21,MATCH(C469,Calcoli!$A$7:$A$21,0)),0.26),2),IF(B469="Vendita",ROUND(MAX(0,U469)*IFERROR(INDEX(Calcoli!$V$7:$V$21,MATCH(C469,Calcoli!$A$7:$A$21,0)),0.26),2),0))))</f>
        <v/>
      </c>
      <c r="L469" s="135" t="str">
        <f>IF(B469="","",IF(B469="Acquisto",-(J469+N(G469)),J469-N(G469)-K469))</f>
        <v/>
      </c>
      <c r="M469" s="127" t="str">
        <f>IF(B469="","",IF(ISNA(MATCH(C469,ETF!$A$7:$A$21,0)),"ETF?",IF(NOT(ISNUMBER(A469)),"Data?",IF(AND(B469&lt;&gt;"Dividendo",N(D469)&lt;=0),"Quote?",IF(AND(B469="Vendita",N(D469)&gt;N(Q469)+0.000001),"Quote?",IF(J469&lt;=0,"Importo?","✓"))))))</f>
        <v/>
      </c>
      <c r="N469" t="str">
        <f>IF(OR(B469="Acquisto",B469="Vendita"),COUNTIFS($C$5:C469,C469,$B$5:B469,"Acquisto")+COUNTIFS($C$5:C469,C469,$B$5:B469,"Vendita"),"")</f>
        <v/>
      </c>
      <c r="O469" t="str">
        <f>IF(N469="","",C469&amp;"|"&amp;N469)</f>
        <v/>
      </c>
      <c r="P469" t="str">
        <f>IF(N469="","",IF(N469=1,0,MATCH(C469&amp;"|"&amp;(N469-1),$O$5:$O$1004,0)))</f>
        <v/>
      </c>
      <c r="Q469" t="str">
        <f>IF(N469="","",IF(P469=0,SUMIFS(Calcoli!$C$7:$C$21,Calcoli!$A$7:$A$21,C469),INDEX($S$5:$S$1004,P469)))</f>
        <v/>
      </c>
      <c r="R469" t="str">
        <f>IF(N469="","",IF(P469=0,SUMIFS(Calcoli!$D$7:$D$21,Calcoli!$A$7:$A$21,C469),INDEX($T$5:$T$1004,P469)))</f>
        <v/>
      </c>
      <c r="S469" t="str">
        <f>IF(N469="","",IF(B469="Acquisto",Q469+N(D469),MAX(0,Q469-N(D469))))</f>
        <v/>
      </c>
      <c r="T469" t="str">
        <f>IF(N469="","",IF(B469="Acquisto",R469+J469+N(G469),IF(Q469&lt;=0,0,R469*(1-MIN(1,N(D469)/Q469)))))</f>
        <v/>
      </c>
      <c r="U469" t="str">
        <f>IF(B469&lt;&gt;"Vendita","",J469-N(G469)-IF(Q469&lt;=0,0,R469*MIN(1,N(D469)/Q469)))</f>
        <v/>
      </c>
      <c r="V469" t="str">
        <f>IF(B469&lt;&gt;"Dividendo","",IF(Calcoli!$B$251=1,J469,L469))</f>
        <v/>
      </c>
      <c r="W469" t="str">
        <f>IF(AND(V469&lt;&gt;"",ISNUMBER(A469)),A469,"")</f>
        <v/>
      </c>
    </row>
    <row r="470">
      <c r="A470" s="134" t="n"/>
      <c r="B470" s="116" t="n"/>
      <c r="C470" s="116" t="n"/>
      <c r="D470" s="121" t="n"/>
      <c r="E470" s="120" t="n"/>
      <c r="F470" s="120" t="n"/>
      <c r="G470" s="120" t="n"/>
      <c r="H470" s="120" t="n"/>
      <c r="I470" s="117" t="n"/>
      <c r="J470" s="123" t="str">
        <f>IF(B470="","",IF(F470&lt;&gt;"",N(F470),ROUND(N(D470)*N(E470),2)))</f>
        <v/>
      </c>
      <c r="K470" s="123" t="str">
        <f>IF(B470="","",IF(H470&lt;&gt;"",N(H470),IF(B470="Dividendo",ROUND(J470*IFERROR(INDEX(Calcoli!$V$7:$V$21,MATCH(C470,Calcoli!$A$7:$A$21,0)),0.26),2),IF(B470="Vendita",ROUND(MAX(0,U470)*IFERROR(INDEX(Calcoli!$V$7:$V$21,MATCH(C470,Calcoli!$A$7:$A$21,0)),0.26),2),0))))</f>
        <v/>
      </c>
      <c r="L470" s="135" t="str">
        <f>IF(B470="","",IF(B470="Acquisto",-(J470+N(G470)),J470-N(G470)-K470))</f>
        <v/>
      </c>
      <c r="M470" s="127" t="str">
        <f>IF(B470="","",IF(ISNA(MATCH(C470,ETF!$A$7:$A$21,0)),"ETF?",IF(NOT(ISNUMBER(A470)),"Data?",IF(AND(B470&lt;&gt;"Dividendo",N(D470)&lt;=0),"Quote?",IF(AND(B470="Vendita",N(D470)&gt;N(Q470)+0.000001),"Quote?",IF(J470&lt;=0,"Importo?","✓"))))))</f>
        <v/>
      </c>
      <c r="N470" t="str">
        <f>IF(OR(B470="Acquisto",B470="Vendita"),COUNTIFS($C$5:C470,C470,$B$5:B470,"Acquisto")+COUNTIFS($C$5:C470,C470,$B$5:B470,"Vendita"),"")</f>
        <v/>
      </c>
      <c r="O470" t="str">
        <f>IF(N470="","",C470&amp;"|"&amp;N470)</f>
        <v/>
      </c>
      <c r="P470" t="str">
        <f>IF(N470="","",IF(N470=1,0,MATCH(C470&amp;"|"&amp;(N470-1),$O$5:$O$1004,0)))</f>
        <v/>
      </c>
      <c r="Q470" t="str">
        <f>IF(N470="","",IF(P470=0,SUMIFS(Calcoli!$C$7:$C$21,Calcoli!$A$7:$A$21,C470),INDEX($S$5:$S$1004,P470)))</f>
        <v/>
      </c>
      <c r="R470" t="str">
        <f>IF(N470="","",IF(P470=0,SUMIFS(Calcoli!$D$7:$D$21,Calcoli!$A$7:$A$21,C470),INDEX($T$5:$T$1004,P470)))</f>
        <v/>
      </c>
      <c r="S470" t="str">
        <f>IF(N470="","",IF(B470="Acquisto",Q470+N(D470),MAX(0,Q470-N(D470))))</f>
        <v/>
      </c>
      <c r="T470" t="str">
        <f>IF(N470="","",IF(B470="Acquisto",R470+J470+N(G470),IF(Q470&lt;=0,0,R470*(1-MIN(1,N(D470)/Q470)))))</f>
        <v/>
      </c>
      <c r="U470" t="str">
        <f>IF(B470&lt;&gt;"Vendita","",J470-N(G470)-IF(Q470&lt;=0,0,R470*MIN(1,N(D470)/Q470)))</f>
        <v/>
      </c>
      <c r="V470" t="str">
        <f>IF(B470&lt;&gt;"Dividendo","",IF(Calcoli!$B$251=1,J470,L470))</f>
        <v/>
      </c>
      <c r="W470" t="str">
        <f>IF(AND(V470&lt;&gt;"",ISNUMBER(A470)),A470,"")</f>
        <v/>
      </c>
    </row>
    <row r="471">
      <c r="A471" s="134" t="n"/>
      <c r="B471" s="116" t="n"/>
      <c r="C471" s="116" t="n"/>
      <c r="D471" s="121" t="n"/>
      <c r="E471" s="120" t="n"/>
      <c r="F471" s="120" t="n"/>
      <c r="G471" s="120" t="n"/>
      <c r="H471" s="120" t="n"/>
      <c r="I471" s="117" t="n"/>
      <c r="J471" s="123" t="str">
        <f>IF(B471="","",IF(F471&lt;&gt;"",N(F471),ROUND(N(D471)*N(E471),2)))</f>
        <v/>
      </c>
      <c r="K471" s="123" t="str">
        <f>IF(B471="","",IF(H471&lt;&gt;"",N(H471),IF(B471="Dividendo",ROUND(J471*IFERROR(INDEX(Calcoli!$V$7:$V$21,MATCH(C471,Calcoli!$A$7:$A$21,0)),0.26),2),IF(B471="Vendita",ROUND(MAX(0,U471)*IFERROR(INDEX(Calcoli!$V$7:$V$21,MATCH(C471,Calcoli!$A$7:$A$21,0)),0.26),2),0))))</f>
        <v/>
      </c>
      <c r="L471" s="135" t="str">
        <f>IF(B471="","",IF(B471="Acquisto",-(J471+N(G471)),J471-N(G471)-K471))</f>
        <v/>
      </c>
      <c r="M471" s="127" t="str">
        <f>IF(B471="","",IF(ISNA(MATCH(C471,ETF!$A$7:$A$21,0)),"ETF?",IF(NOT(ISNUMBER(A471)),"Data?",IF(AND(B471&lt;&gt;"Dividendo",N(D471)&lt;=0),"Quote?",IF(AND(B471="Vendita",N(D471)&gt;N(Q471)+0.000001),"Quote?",IF(J471&lt;=0,"Importo?","✓"))))))</f>
        <v/>
      </c>
      <c r="N471" t="str">
        <f>IF(OR(B471="Acquisto",B471="Vendita"),COUNTIFS($C$5:C471,C471,$B$5:B471,"Acquisto")+COUNTIFS($C$5:C471,C471,$B$5:B471,"Vendita"),"")</f>
        <v/>
      </c>
      <c r="O471" t="str">
        <f>IF(N471="","",C471&amp;"|"&amp;N471)</f>
        <v/>
      </c>
      <c r="P471" t="str">
        <f>IF(N471="","",IF(N471=1,0,MATCH(C471&amp;"|"&amp;(N471-1),$O$5:$O$1004,0)))</f>
        <v/>
      </c>
      <c r="Q471" t="str">
        <f>IF(N471="","",IF(P471=0,SUMIFS(Calcoli!$C$7:$C$21,Calcoli!$A$7:$A$21,C471),INDEX($S$5:$S$1004,P471)))</f>
        <v/>
      </c>
      <c r="R471" t="str">
        <f>IF(N471="","",IF(P471=0,SUMIFS(Calcoli!$D$7:$D$21,Calcoli!$A$7:$A$21,C471),INDEX($T$5:$T$1004,P471)))</f>
        <v/>
      </c>
      <c r="S471" t="str">
        <f>IF(N471="","",IF(B471="Acquisto",Q471+N(D471),MAX(0,Q471-N(D471))))</f>
        <v/>
      </c>
      <c r="T471" t="str">
        <f>IF(N471="","",IF(B471="Acquisto",R471+J471+N(G471),IF(Q471&lt;=0,0,R471*(1-MIN(1,N(D471)/Q471)))))</f>
        <v/>
      </c>
      <c r="U471" t="str">
        <f>IF(B471&lt;&gt;"Vendita","",J471-N(G471)-IF(Q471&lt;=0,0,R471*MIN(1,N(D471)/Q471)))</f>
        <v/>
      </c>
      <c r="V471" t="str">
        <f>IF(B471&lt;&gt;"Dividendo","",IF(Calcoli!$B$251=1,J471,L471))</f>
        <v/>
      </c>
      <c r="W471" t="str">
        <f>IF(AND(V471&lt;&gt;"",ISNUMBER(A471)),A471,"")</f>
        <v/>
      </c>
    </row>
    <row r="472">
      <c r="A472" s="134" t="n"/>
      <c r="B472" s="116" t="n"/>
      <c r="C472" s="116" t="n"/>
      <c r="D472" s="121" t="n"/>
      <c r="E472" s="120" t="n"/>
      <c r="F472" s="120" t="n"/>
      <c r="G472" s="120" t="n"/>
      <c r="H472" s="120" t="n"/>
      <c r="I472" s="117" t="n"/>
      <c r="J472" s="123" t="str">
        <f>IF(B472="","",IF(F472&lt;&gt;"",N(F472),ROUND(N(D472)*N(E472),2)))</f>
        <v/>
      </c>
      <c r="K472" s="123" t="str">
        <f>IF(B472="","",IF(H472&lt;&gt;"",N(H472),IF(B472="Dividendo",ROUND(J472*IFERROR(INDEX(Calcoli!$V$7:$V$21,MATCH(C472,Calcoli!$A$7:$A$21,0)),0.26),2),IF(B472="Vendita",ROUND(MAX(0,U472)*IFERROR(INDEX(Calcoli!$V$7:$V$21,MATCH(C472,Calcoli!$A$7:$A$21,0)),0.26),2),0))))</f>
        <v/>
      </c>
      <c r="L472" s="135" t="str">
        <f>IF(B472="","",IF(B472="Acquisto",-(J472+N(G472)),J472-N(G472)-K472))</f>
        <v/>
      </c>
      <c r="M472" s="127" t="str">
        <f>IF(B472="","",IF(ISNA(MATCH(C472,ETF!$A$7:$A$21,0)),"ETF?",IF(NOT(ISNUMBER(A472)),"Data?",IF(AND(B472&lt;&gt;"Dividendo",N(D472)&lt;=0),"Quote?",IF(AND(B472="Vendita",N(D472)&gt;N(Q472)+0.000001),"Quote?",IF(J472&lt;=0,"Importo?","✓"))))))</f>
        <v/>
      </c>
      <c r="N472" t="str">
        <f>IF(OR(B472="Acquisto",B472="Vendita"),COUNTIFS($C$5:C472,C472,$B$5:B472,"Acquisto")+COUNTIFS($C$5:C472,C472,$B$5:B472,"Vendita"),"")</f>
        <v/>
      </c>
      <c r="O472" t="str">
        <f>IF(N472="","",C472&amp;"|"&amp;N472)</f>
        <v/>
      </c>
      <c r="P472" t="str">
        <f>IF(N472="","",IF(N472=1,0,MATCH(C472&amp;"|"&amp;(N472-1),$O$5:$O$1004,0)))</f>
        <v/>
      </c>
      <c r="Q472" t="str">
        <f>IF(N472="","",IF(P472=0,SUMIFS(Calcoli!$C$7:$C$21,Calcoli!$A$7:$A$21,C472),INDEX($S$5:$S$1004,P472)))</f>
        <v/>
      </c>
      <c r="R472" t="str">
        <f>IF(N472="","",IF(P472=0,SUMIFS(Calcoli!$D$7:$D$21,Calcoli!$A$7:$A$21,C472),INDEX($T$5:$T$1004,P472)))</f>
        <v/>
      </c>
      <c r="S472" t="str">
        <f>IF(N472="","",IF(B472="Acquisto",Q472+N(D472),MAX(0,Q472-N(D472))))</f>
        <v/>
      </c>
      <c r="T472" t="str">
        <f>IF(N472="","",IF(B472="Acquisto",R472+J472+N(G472),IF(Q472&lt;=0,0,R472*(1-MIN(1,N(D472)/Q472)))))</f>
        <v/>
      </c>
      <c r="U472" t="str">
        <f>IF(B472&lt;&gt;"Vendita","",J472-N(G472)-IF(Q472&lt;=0,0,R472*MIN(1,N(D472)/Q472)))</f>
        <v/>
      </c>
      <c r="V472" t="str">
        <f>IF(B472&lt;&gt;"Dividendo","",IF(Calcoli!$B$251=1,J472,L472))</f>
        <v/>
      </c>
      <c r="W472" t="str">
        <f>IF(AND(V472&lt;&gt;"",ISNUMBER(A472)),A472,"")</f>
        <v/>
      </c>
    </row>
    <row r="473">
      <c r="A473" s="134" t="n"/>
      <c r="B473" s="116" t="n"/>
      <c r="C473" s="116" t="n"/>
      <c r="D473" s="121" t="n"/>
      <c r="E473" s="120" t="n"/>
      <c r="F473" s="120" t="n"/>
      <c r="G473" s="120" t="n"/>
      <c r="H473" s="120" t="n"/>
      <c r="I473" s="117" t="n"/>
      <c r="J473" s="123" t="str">
        <f>IF(B473="","",IF(F473&lt;&gt;"",N(F473),ROUND(N(D473)*N(E473),2)))</f>
        <v/>
      </c>
      <c r="K473" s="123" t="str">
        <f>IF(B473="","",IF(H473&lt;&gt;"",N(H473),IF(B473="Dividendo",ROUND(J473*IFERROR(INDEX(Calcoli!$V$7:$V$21,MATCH(C473,Calcoli!$A$7:$A$21,0)),0.26),2),IF(B473="Vendita",ROUND(MAX(0,U473)*IFERROR(INDEX(Calcoli!$V$7:$V$21,MATCH(C473,Calcoli!$A$7:$A$21,0)),0.26),2),0))))</f>
        <v/>
      </c>
      <c r="L473" s="135" t="str">
        <f>IF(B473="","",IF(B473="Acquisto",-(J473+N(G473)),J473-N(G473)-K473))</f>
        <v/>
      </c>
      <c r="M473" s="127" t="str">
        <f>IF(B473="","",IF(ISNA(MATCH(C473,ETF!$A$7:$A$21,0)),"ETF?",IF(NOT(ISNUMBER(A473)),"Data?",IF(AND(B473&lt;&gt;"Dividendo",N(D473)&lt;=0),"Quote?",IF(AND(B473="Vendita",N(D473)&gt;N(Q473)+0.000001),"Quote?",IF(J473&lt;=0,"Importo?","✓"))))))</f>
        <v/>
      </c>
      <c r="N473" t="str">
        <f>IF(OR(B473="Acquisto",B473="Vendita"),COUNTIFS($C$5:C473,C473,$B$5:B473,"Acquisto")+COUNTIFS($C$5:C473,C473,$B$5:B473,"Vendita"),"")</f>
        <v/>
      </c>
      <c r="O473" t="str">
        <f>IF(N473="","",C473&amp;"|"&amp;N473)</f>
        <v/>
      </c>
      <c r="P473" t="str">
        <f>IF(N473="","",IF(N473=1,0,MATCH(C473&amp;"|"&amp;(N473-1),$O$5:$O$1004,0)))</f>
        <v/>
      </c>
      <c r="Q473" t="str">
        <f>IF(N473="","",IF(P473=0,SUMIFS(Calcoli!$C$7:$C$21,Calcoli!$A$7:$A$21,C473),INDEX($S$5:$S$1004,P473)))</f>
        <v/>
      </c>
      <c r="R473" t="str">
        <f>IF(N473="","",IF(P473=0,SUMIFS(Calcoli!$D$7:$D$21,Calcoli!$A$7:$A$21,C473),INDEX($T$5:$T$1004,P473)))</f>
        <v/>
      </c>
      <c r="S473" t="str">
        <f>IF(N473="","",IF(B473="Acquisto",Q473+N(D473),MAX(0,Q473-N(D473))))</f>
        <v/>
      </c>
      <c r="T473" t="str">
        <f>IF(N473="","",IF(B473="Acquisto",R473+J473+N(G473),IF(Q473&lt;=0,0,R473*(1-MIN(1,N(D473)/Q473)))))</f>
        <v/>
      </c>
      <c r="U473" t="str">
        <f>IF(B473&lt;&gt;"Vendita","",J473-N(G473)-IF(Q473&lt;=0,0,R473*MIN(1,N(D473)/Q473)))</f>
        <v/>
      </c>
      <c r="V473" t="str">
        <f>IF(B473&lt;&gt;"Dividendo","",IF(Calcoli!$B$251=1,J473,L473))</f>
        <v/>
      </c>
      <c r="W473" t="str">
        <f>IF(AND(V473&lt;&gt;"",ISNUMBER(A473)),A473,"")</f>
        <v/>
      </c>
    </row>
    <row r="474">
      <c r="A474" s="134" t="n"/>
      <c r="B474" s="116" t="n"/>
      <c r="C474" s="116" t="n"/>
      <c r="D474" s="121" t="n"/>
      <c r="E474" s="120" t="n"/>
      <c r="F474" s="120" t="n"/>
      <c r="G474" s="120" t="n"/>
      <c r="H474" s="120" t="n"/>
      <c r="I474" s="117" t="n"/>
      <c r="J474" s="123" t="str">
        <f>IF(B474="","",IF(F474&lt;&gt;"",N(F474),ROUND(N(D474)*N(E474),2)))</f>
        <v/>
      </c>
      <c r="K474" s="123" t="str">
        <f>IF(B474="","",IF(H474&lt;&gt;"",N(H474),IF(B474="Dividendo",ROUND(J474*IFERROR(INDEX(Calcoli!$V$7:$V$21,MATCH(C474,Calcoli!$A$7:$A$21,0)),0.26),2),IF(B474="Vendita",ROUND(MAX(0,U474)*IFERROR(INDEX(Calcoli!$V$7:$V$21,MATCH(C474,Calcoli!$A$7:$A$21,0)),0.26),2),0))))</f>
        <v/>
      </c>
      <c r="L474" s="135" t="str">
        <f>IF(B474="","",IF(B474="Acquisto",-(J474+N(G474)),J474-N(G474)-K474))</f>
        <v/>
      </c>
      <c r="M474" s="127" t="str">
        <f>IF(B474="","",IF(ISNA(MATCH(C474,ETF!$A$7:$A$21,0)),"ETF?",IF(NOT(ISNUMBER(A474)),"Data?",IF(AND(B474&lt;&gt;"Dividendo",N(D474)&lt;=0),"Quote?",IF(AND(B474="Vendita",N(D474)&gt;N(Q474)+0.000001),"Quote?",IF(J474&lt;=0,"Importo?","✓"))))))</f>
        <v/>
      </c>
      <c r="N474" t="str">
        <f>IF(OR(B474="Acquisto",B474="Vendita"),COUNTIFS($C$5:C474,C474,$B$5:B474,"Acquisto")+COUNTIFS($C$5:C474,C474,$B$5:B474,"Vendita"),"")</f>
        <v/>
      </c>
      <c r="O474" t="str">
        <f>IF(N474="","",C474&amp;"|"&amp;N474)</f>
        <v/>
      </c>
      <c r="P474" t="str">
        <f>IF(N474="","",IF(N474=1,0,MATCH(C474&amp;"|"&amp;(N474-1),$O$5:$O$1004,0)))</f>
        <v/>
      </c>
      <c r="Q474" t="str">
        <f>IF(N474="","",IF(P474=0,SUMIFS(Calcoli!$C$7:$C$21,Calcoli!$A$7:$A$21,C474),INDEX($S$5:$S$1004,P474)))</f>
        <v/>
      </c>
      <c r="R474" t="str">
        <f>IF(N474="","",IF(P474=0,SUMIFS(Calcoli!$D$7:$D$21,Calcoli!$A$7:$A$21,C474),INDEX($T$5:$T$1004,P474)))</f>
        <v/>
      </c>
      <c r="S474" t="str">
        <f>IF(N474="","",IF(B474="Acquisto",Q474+N(D474),MAX(0,Q474-N(D474))))</f>
        <v/>
      </c>
      <c r="T474" t="str">
        <f>IF(N474="","",IF(B474="Acquisto",R474+J474+N(G474),IF(Q474&lt;=0,0,R474*(1-MIN(1,N(D474)/Q474)))))</f>
        <v/>
      </c>
      <c r="U474" t="str">
        <f>IF(B474&lt;&gt;"Vendita","",J474-N(G474)-IF(Q474&lt;=0,0,R474*MIN(1,N(D474)/Q474)))</f>
        <v/>
      </c>
      <c r="V474" t="str">
        <f>IF(B474&lt;&gt;"Dividendo","",IF(Calcoli!$B$251=1,J474,L474))</f>
        <v/>
      </c>
      <c r="W474" t="str">
        <f>IF(AND(V474&lt;&gt;"",ISNUMBER(A474)),A474,"")</f>
        <v/>
      </c>
    </row>
    <row r="475">
      <c r="A475" s="134" t="n"/>
      <c r="B475" s="116" t="n"/>
      <c r="C475" s="116" t="n"/>
      <c r="D475" s="121" t="n"/>
      <c r="E475" s="120" t="n"/>
      <c r="F475" s="120" t="n"/>
      <c r="G475" s="120" t="n"/>
      <c r="H475" s="120" t="n"/>
      <c r="I475" s="117" t="n"/>
      <c r="J475" s="123" t="str">
        <f>IF(B475="","",IF(F475&lt;&gt;"",N(F475),ROUND(N(D475)*N(E475),2)))</f>
        <v/>
      </c>
      <c r="K475" s="123" t="str">
        <f>IF(B475="","",IF(H475&lt;&gt;"",N(H475),IF(B475="Dividendo",ROUND(J475*IFERROR(INDEX(Calcoli!$V$7:$V$21,MATCH(C475,Calcoli!$A$7:$A$21,0)),0.26),2),IF(B475="Vendita",ROUND(MAX(0,U475)*IFERROR(INDEX(Calcoli!$V$7:$V$21,MATCH(C475,Calcoli!$A$7:$A$21,0)),0.26),2),0))))</f>
        <v/>
      </c>
      <c r="L475" s="135" t="str">
        <f>IF(B475="","",IF(B475="Acquisto",-(J475+N(G475)),J475-N(G475)-K475))</f>
        <v/>
      </c>
      <c r="M475" s="127" t="str">
        <f>IF(B475="","",IF(ISNA(MATCH(C475,ETF!$A$7:$A$21,0)),"ETF?",IF(NOT(ISNUMBER(A475)),"Data?",IF(AND(B475&lt;&gt;"Dividendo",N(D475)&lt;=0),"Quote?",IF(AND(B475="Vendita",N(D475)&gt;N(Q475)+0.000001),"Quote?",IF(J475&lt;=0,"Importo?","✓"))))))</f>
        <v/>
      </c>
      <c r="N475" t="str">
        <f>IF(OR(B475="Acquisto",B475="Vendita"),COUNTIFS($C$5:C475,C475,$B$5:B475,"Acquisto")+COUNTIFS($C$5:C475,C475,$B$5:B475,"Vendita"),"")</f>
        <v/>
      </c>
      <c r="O475" t="str">
        <f>IF(N475="","",C475&amp;"|"&amp;N475)</f>
        <v/>
      </c>
      <c r="P475" t="str">
        <f>IF(N475="","",IF(N475=1,0,MATCH(C475&amp;"|"&amp;(N475-1),$O$5:$O$1004,0)))</f>
        <v/>
      </c>
      <c r="Q475" t="str">
        <f>IF(N475="","",IF(P475=0,SUMIFS(Calcoli!$C$7:$C$21,Calcoli!$A$7:$A$21,C475),INDEX($S$5:$S$1004,P475)))</f>
        <v/>
      </c>
      <c r="R475" t="str">
        <f>IF(N475="","",IF(P475=0,SUMIFS(Calcoli!$D$7:$D$21,Calcoli!$A$7:$A$21,C475),INDEX($T$5:$T$1004,P475)))</f>
        <v/>
      </c>
      <c r="S475" t="str">
        <f>IF(N475="","",IF(B475="Acquisto",Q475+N(D475),MAX(0,Q475-N(D475))))</f>
        <v/>
      </c>
      <c r="T475" t="str">
        <f>IF(N475="","",IF(B475="Acquisto",R475+J475+N(G475),IF(Q475&lt;=0,0,R475*(1-MIN(1,N(D475)/Q475)))))</f>
        <v/>
      </c>
      <c r="U475" t="str">
        <f>IF(B475&lt;&gt;"Vendita","",J475-N(G475)-IF(Q475&lt;=0,0,R475*MIN(1,N(D475)/Q475)))</f>
        <v/>
      </c>
      <c r="V475" t="str">
        <f>IF(B475&lt;&gt;"Dividendo","",IF(Calcoli!$B$251=1,J475,L475))</f>
        <v/>
      </c>
      <c r="W475" t="str">
        <f>IF(AND(V475&lt;&gt;"",ISNUMBER(A475)),A475,"")</f>
        <v/>
      </c>
    </row>
    <row r="476">
      <c r="A476" s="134" t="n"/>
      <c r="B476" s="116" t="n"/>
      <c r="C476" s="116" t="n"/>
      <c r="D476" s="121" t="n"/>
      <c r="E476" s="120" t="n"/>
      <c r="F476" s="120" t="n"/>
      <c r="G476" s="120" t="n"/>
      <c r="H476" s="120" t="n"/>
      <c r="I476" s="117" t="n"/>
      <c r="J476" s="123" t="str">
        <f>IF(B476="","",IF(F476&lt;&gt;"",N(F476),ROUND(N(D476)*N(E476),2)))</f>
        <v/>
      </c>
      <c r="K476" s="123" t="str">
        <f>IF(B476="","",IF(H476&lt;&gt;"",N(H476),IF(B476="Dividendo",ROUND(J476*IFERROR(INDEX(Calcoli!$V$7:$V$21,MATCH(C476,Calcoli!$A$7:$A$21,0)),0.26),2),IF(B476="Vendita",ROUND(MAX(0,U476)*IFERROR(INDEX(Calcoli!$V$7:$V$21,MATCH(C476,Calcoli!$A$7:$A$21,0)),0.26),2),0))))</f>
        <v/>
      </c>
      <c r="L476" s="135" t="str">
        <f>IF(B476="","",IF(B476="Acquisto",-(J476+N(G476)),J476-N(G476)-K476))</f>
        <v/>
      </c>
      <c r="M476" s="127" t="str">
        <f>IF(B476="","",IF(ISNA(MATCH(C476,ETF!$A$7:$A$21,0)),"ETF?",IF(NOT(ISNUMBER(A476)),"Data?",IF(AND(B476&lt;&gt;"Dividendo",N(D476)&lt;=0),"Quote?",IF(AND(B476="Vendita",N(D476)&gt;N(Q476)+0.000001),"Quote?",IF(J476&lt;=0,"Importo?","✓"))))))</f>
        <v/>
      </c>
      <c r="N476" t="str">
        <f>IF(OR(B476="Acquisto",B476="Vendita"),COUNTIFS($C$5:C476,C476,$B$5:B476,"Acquisto")+COUNTIFS($C$5:C476,C476,$B$5:B476,"Vendita"),"")</f>
        <v/>
      </c>
      <c r="O476" t="str">
        <f>IF(N476="","",C476&amp;"|"&amp;N476)</f>
        <v/>
      </c>
      <c r="P476" t="str">
        <f>IF(N476="","",IF(N476=1,0,MATCH(C476&amp;"|"&amp;(N476-1),$O$5:$O$1004,0)))</f>
        <v/>
      </c>
      <c r="Q476" t="str">
        <f>IF(N476="","",IF(P476=0,SUMIFS(Calcoli!$C$7:$C$21,Calcoli!$A$7:$A$21,C476),INDEX($S$5:$S$1004,P476)))</f>
        <v/>
      </c>
      <c r="R476" t="str">
        <f>IF(N476="","",IF(P476=0,SUMIFS(Calcoli!$D$7:$D$21,Calcoli!$A$7:$A$21,C476),INDEX($T$5:$T$1004,P476)))</f>
        <v/>
      </c>
      <c r="S476" t="str">
        <f>IF(N476="","",IF(B476="Acquisto",Q476+N(D476),MAX(0,Q476-N(D476))))</f>
        <v/>
      </c>
      <c r="T476" t="str">
        <f>IF(N476="","",IF(B476="Acquisto",R476+J476+N(G476),IF(Q476&lt;=0,0,R476*(1-MIN(1,N(D476)/Q476)))))</f>
        <v/>
      </c>
      <c r="U476" t="str">
        <f>IF(B476&lt;&gt;"Vendita","",J476-N(G476)-IF(Q476&lt;=0,0,R476*MIN(1,N(D476)/Q476)))</f>
        <v/>
      </c>
      <c r="V476" t="str">
        <f>IF(B476&lt;&gt;"Dividendo","",IF(Calcoli!$B$251=1,J476,L476))</f>
        <v/>
      </c>
      <c r="W476" t="str">
        <f>IF(AND(V476&lt;&gt;"",ISNUMBER(A476)),A476,"")</f>
        <v/>
      </c>
    </row>
    <row r="477">
      <c r="A477" s="134" t="n"/>
      <c r="B477" s="116" t="n"/>
      <c r="C477" s="116" t="n"/>
      <c r="D477" s="121" t="n"/>
      <c r="E477" s="120" t="n"/>
      <c r="F477" s="120" t="n"/>
      <c r="G477" s="120" t="n"/>
      <c r="H477" s="120" t="n"/>
      <c r="I477" s="117" t="n"/>
      <c r="J477" s="123" t="str">
        <f>IF(B477="","",IF(F477&lt;&gt;"",N(F477),ROUND(N(D477)*N(E477),2)))</f>
        <v/>
      </c>
      <c r="K477" s="123" t="str">
        <f>IF(B477="","",IF(H477&lt;&gt;"",N(H477),IF(B477="Dividendo",ROUND(J477*IFERROR(INDEX(Calcoli!$V$7:$V$21,MATCH(C477,Calcoli!$A$7:$A$21,0)),0.26),2),IF(B477="Vendita",ROUND(MAX(0,U477)*IFERROR(INDEX(Calcoli!$V$7:$V$21,MATCH(C477,Calcoli!$A$7:$A$21,0)),0.26),2),0))))</f>
        <v/>
      </c>
      <c r="L477" s="135" t="str">
        <f>IF(B477="","",IF(B477="Acquisto",-(J477+N(G477)),J477-N(G477)-K477))</f>
        <v/>
      </c>
      <c r="M477" s="127" t="str">
        <f>IF(B477="","",IF(ISNA(MATCH(C477,ETF!$A$7:$A$21,0)),"ETF?",IF(NOT(ISNUMBER(A477)),"Data?",IF(AND(B477&lt;&gt;"Dividendo",N(D477)&lt;=0),"Quote?",IF(AND(B477="Vendita",N(D477)&gt;N(Q477)+0.000001),"Quote?",IF(J477&lt;=0,"Importo?","✓"))))))</f>
        <v/>
      </c>
      <c r="N477" t="str">
        <f>IF(OR(B477="Acquisto",B477="Vendita"),COUNTIFS($C$5:C477,C477,$B$5:B477,"Acquisto")+COUNTIFS($C$5:C477,C477,$B$5:B477,"Vendita"),"")</f>
        <v/>
      </c>
      <c r="O477" t="str">
        <f>IF(N477="","",C477&amp;"|"&amp;N477)</f>
        <v/>
      </c>
      <c r="P477" t="str">
        <f>IF(N477="","",IF(N477=1,0,MATCH(C477&amp;"|"&amp;(N477-1),$O$5:$O$1004,0)))</f>
        <v/>
      </c>
      <c r="Q477" t="str">
        <f>IF(N477="","",IF(P477=0,SUMIFS(Calcoli!$C$7:$C$21,Calcoli!$A$7:$A$21,C477),INDEX($S$5:$S$1004,P477)))</f>
        <v/>
      </c>
      <c r="R477" t="str">
        <f>IF(N477="","",IF(P477=0,SUMIFS(Calcoli!$D$7:$D$21,Calcoli!$A$7:$A$21,C477),INDEX($T$5:$T$1004,P477)))</f>
        <v/>
      </c>
      <c r="S477" t="str">
        <f>IF(N477="","",IF(B477="Acquisto",Q477+N(D477),MAX(0,Q477-N(D477))))</f>
        <v/>
      </c>
      <c r="T477" t="str">
        <f>IF(N477="","",IF(B477="Acquisto",R477+J477+N(G477),IF(Q477&lt;=0,0,R477*(1-MIN(1,N(D477)/Q477)))))</f>
        <v/>
      </c>
      <c r="U477" t="str">
        <f>IF(B477&lt;&gt;"Vendita","",J477-N(G477)-IF(Q477&lt;=0,0,R477*MIN(1,N(D477)/Q477)))</f>
        <v/>
      </c>
      <c r="V477" t="str">
        <f>IF(B477&lt;&gt;"Dividendo","",IF(Calcoli!$B$251=1,J477,L477))</f>
        <v/>
      </c>
      <c r="W477" t="str">
        <f>IF(AND(V477&lt;&gt;"",ISNUMBER(A477)),A477,"")</f>
        <v/>
      </c>
    </row>
    <row r="478">
      <c r="A478" s="134" t="n"/>
      <c r="B478" s="116" t="n"/>
      <c r="C478" s="116" t="n"/>
      <c r="D478" s="121" t="n"/>
      <c r="E478" s="120" t="n"/>
      <c r="F478" s="120" t="n"/>
      <c r="G478" s="120" t="n"/>
      <c r="H478" s="120" t="n"/>
      <c r="I478" s="117" t="n"/>
      <c r="J478" s="123" t="str">
        <f>IF(B478="","",IF(F478&lt;&gt;"",N(F478),ROUND(N(D478)*N(E478),2)))</f>
        <v/>
      </c>
      <c r="K478" s="123" t="str">
        <f>IF(B478="","",IF(H478&lt;&gt;"",N(H478),IF(B478="Dividendo",ROUND(J478*IFERROR(INDEX(Calcoli!$V$7:$V$21,MATCH(C478,Calcoli!$A$7:$A$21,0)),0.26),2),IF(B478="Vendita",ROUND(MAX(0,U478)*IFERROR(INDEX(Calcoli!$V$7:$V$21,MATCH(C478,Calcoli!$A$7:$A$21,0)),0.26),2),0))))</f>
        <v/>
      </c>
      <c r="L478" s="135" t="str">
        <f>IF(B478="","",IF(B478="Acquisto",-(J478+N(G478)),J478-N(G478)-K478))</f>
        <v/>
      </c>
      <c r="M478" s="127" t="str">
        <f>IF(B478="","",IF(ISNA(MATCH(C478,ETF!$A$7:$A$21,0)),"ETF?",IF(NOT(ISNUMBER(A478)),"Data?",IF(AND(B478&lt;&gt;"Dividendo",N(D478)&lt;=0),"Quote?",IF(AND(B478="Vendita",N(D478)&gt;N(Q478)+0.000001),"Quote?",IF(J478&lt;=0,"Importo?","✓"))))))</f>
        <v/>
      </c>
      <c r="N478" t="str">
        <f>IF(OR(B478="Acquisto",B478="Vendita"),COUNTIFS($C$5:C478,C478,$B$5:B478,"Acquisto")+COUNTIFS($C$5:C478,C478,$B$5:B478,"Vendita"),"")</f>
        <v/>
      </c>
      <c r="O478" t="str">
        <f>IF(N478="","",C478&amp;"|"&amp;N478)</f>
        <v/>
      </c>
      <c r="P478" t="str">
        <f>IF(N478="","",IF(N478=1,0,MATCH(C478&amp;"|"&amp;(N478-1),$O$5:$O$1004,0)))</f>
        <v/>
      </c>
      <c r="Q478" t="str">
        <f>IF(N478="","",IF(P478=0,SUMIFS(Calcoli!$C$7:$C$21,Calcoli!$A$7:$A$21,C478),INDEX($S$5:$S$1004,P478)))</f>
        <v/>
      </c>
      <c r="R478" t="str">
        <f>IF(N478="","",IF(P478=0,SUMIFS(Calcoli!$D$7:$D$21,Calcoli!$A$7:$A$21,C478),INDEX($T$5:$T$1004,P478)))</f>
        <v/>
      </c>
      <c r="S478" t="str">
        <f>IF(N478="","",IF(B478="Acquisto",Q478+N(D478),MAX(0,Q478-N(D478))))</f>
        <v/>
      </c>
      <c r="T478" t="str">
        <f>IF(N478="","",IF(B478="Acquisto",R478+J478+N(G478),IF(Q478&lt;=0,0,R478*(1-MIN(1,N(D478)/Q478)))))</f>
        <v/>
      </c>
      <c r="U478" t="str">
        <f>IF(B478&lt;&gt;"Vendita","",J478-N(G478)-IF(Q478&lt;=0,0,R478*MIN(1,N(D478)/Q478)))</f>
        <v/>
      </c>
      <c r="V478" t="str">
        <f>IF(B478&lt;&gt;"Dividendo","",IF(Calcoli!$B$251=1,J478,L478))</f>
        <v/>
      </c>
      <c r="W478" t="str">
        <f>IF(AND(V478&lt;&gt;"",ISNUMBER(A478)),A478,"")</f>
        <v/>
      </c>
    </row>
    <row r="479">
      <c r="A479" s="134" t="n"/>
      <c r="B479" s="116" t="n"/>
      <c r="C479" s="116" t="n"/>
      <c r="D479" s="121" t="n"/>
      <c r="E479" s="120" t="n"/>
      <c r="F479" s="120" t="n"/>
      <c r="G479" s="120" t="n"/>
      <c r="H479" s="120" t="n"/>
      <c r="I479" s="117" t="n"/>
      <c r="J479" s="123" t="str">
        <f>IF(B479="","",IF(F479&lt;&gt;"",N(F479),ROUND(N(D479)*N(E479),2)))</f>
        <v/>
      </c>
      <c r="K479" s="123" t="str">
        <f>IF(B479="","",IF(H479&lt;&gt;"",N(H479),IF(B479="Dividendo",ROUND(J479*IFERROR(INDEX(Calcoli!$V$7:$V$21,MATCH(C479,Calcoli!$A$7:$A$21,0)),0.26),2),IF(B479="Vendita",ROUND(MAX(0,U479)*IFERROR(INDEX(Calcoli!$V$7:$V$21,MATCH(C479,Calcoli!$A$7:$A$21,0)),0.26),2),0))))</f>
        <v/>
      </c>
      <c r="L479" s="135" t="str">
        <f>IF(B479="","",IF(B479="Acquisto",-(J479+N(G479)),J479-N(G479)-K479))</f>
        <v/>
      </c>
      <c r="M479" s="127" t="str">
        <f>IF(B479="","",IF(ISNA(MATCH(C479,ETF!$A$7:$A$21,0)),"ETF?",IF(NOT(ISNUMBER(A479)),"Data?",IF(AND(B479&lt;&gt;"Dividendo",N(D479)&lt;=0),"Quote?",IF(AND(B479="Vendita",N(D479)&gt;N(Q479)+0.000001),"Quote?",IF(J479&lt;=0,"Importo?","✓"))))))</f>
        <v/>
      </c>
      <c r="N479" t="str">
        <f>IF(OR(B479="Acquisto",B479="Vendita"),COUNTIFS($C$5:C479,C479,$B$5:B479,"Acquisto")+COUNTIFS($C$5:C479,C479,$B$5:B479,"Vendita"),"")</f>
        <v/>
      </c>
      <c r="O479" t="str">
        <f>IF(N479="","",C479&amp;"|"&amp;N479)</f>
        <v/>
      </c>
      <c r="P479" t="str">
        <f>IF(N479="","",IF(N479=1,0,MATCH(C479&amp;"|"&amp;(N479-1),$O$5:$O$1004,0)))</f>
        <v/>
      </c>
      <c r="Q479" t="str">
        <f>IF(N479="","",IF(P479=0,SUMIFS(Calcoli!$C$7:$C$21,Calcoli!$A$7:$A$21,C479),INDEX($S$5:$S$1004,P479)))</f>
        <v/>
      </c>
      <c r="R479" t="str">
        <f>IF(N479="","",IF(P479=0,SUMIFS(Calcoli!$D$7:$D$21,Calcoli!$A$7:$A$21,C479),INDEX($T$5:$T$1004,P479)))</f>
        <v/>
      </c>
      <c r="S479" t="str">
        <f>IF(N479="","",IF(B479="Acquisto",Q479+N(D479),MAX(0,Q479-N(D479))))</f>
        <v/>
      </c>
      <c r="T479" t="str">
        <f>IF(N479="","",IF(B479="Acquisto",R479+J479+N(G479),IF(Q479&lt;=0,0,R479*(1-MIN(1,N(D479)/Q479)))))</f>
        <v/>
      </c>
      <c r="U479" t="str">
        <f>IF(B479&lt;&gt;"Vendita","",J479-N(G479)-IF(Q479&lt;=0,0,R479*MIN(1,N(D479)/Q479)))</f>
        <v/>
      </c>
      <c r="V479" t="str">
        <f>IF(B479&lt;&gt;"Dividendo","",IF(Calcoli!$B$251=1,J479,L479))</f>
        <v/>
      </c>
      <c r="W479" t="str">
        <f>IF(AND(V479&lt;&gt;"",ISNUMBER(A479)),A479,"")</f>
        <v/>
      </c>
    </row>
    <row r="480">
      <c r="A480" s="134" t="n"/>
      <c r="B480" s="116" t="n"/>
      <c r="C480" s="116" t="n"/>
      <c r="D480" s="121" t="n"/>
      <c r="E480" s="120" t="n"/>
      <c r="F480" s="120" t="n"/>
      <c r="G480" s="120" t="n"/>
      <c r="H480" s="120" t="n"/>
      <c r="I480" s="117" t="n"/>
      <c r="J480" s="123" t="str">
        <f>IF(B480="","",IF(F480&lt;&gt;"",N(F480),ROUND(N(D480)*N(E480),2)))</f>
        <v/>
      </c>
      <c r="K480" s="123" t="str">
        <f>IF(B480="","",IF(H480&lt;&gt;"",N(H480),IF(B480="Dividendo",ROUND(J480*IFERROR(INDEX(Calcoli!$V$7:$V$21,MATCH(C480,Calcoli!$A$7:$A$21,0)),0.26),2),IF(B480="Vendita",ROUND(MAX(0,U480)*IFERROR(INDEX(Calcoli!$V$7:$V$21,MATCH(C480,Calcoli!$A$7:$A$21,0)),0.26),2),0))))</f>
        <v/>
      </c>
      <c r="L480" s="135" t="str">
        <f>IF(B480="","",IF(B480="Acquisto",-(J480+N(G480)),J480-N(G480)-K480))</f>
        <v/>
      </c>
      <c r="M480" s="127" t="str">
        <f>IF(B480="","",IF(ISNA(MATCH(C480,ETF!$A$7:$A$21,0)),"ETF?",IF(NOT(ISNUMBER(A480)),"Data?",IF(AND(B480&lt;&gt;"Dividendo",N(D480)&lt;=0),"Quote?",IF(AND(B480="Vendita",N(D480)&gt;N(Q480)+0.000001),"Quote?",IF(J480&lt;=0,"Importo?","✓"))))))</f>
        <v/>
      </c>
      <c r="N480" t="str">
        <f>IF(OR(B480="Acquisto",B480="Vendita"),COUNTIFS($C$5:C480,C480,$B$5:B480,"Acquisto")+COUNTIFS($C$5:C480,C480,$B$5:B480,"Vendita"),"")</f>
        <v/>
      </c>
      <c r="O480" t="str">
        <f>IF(N480="","",C480&amp;"|"&amp;N480)</f>
        <v/>
      </c>
      <c r="P480" t="str">
        <f>IF(N480="","",IF(N480=1,0,MATCH(C480&amp;"|"&amp;(N480-1),$O$5:$O$1004,0)))</f>
        <v/>
      </c>
      <c r="Q480" t="str">
        <f>IF(N480="","",IF(P480=0,SUMIFS(Calcoli!$C$7:$C$21,Calcoli!$A$7:$A$21,C480),INDEX($S$5:$S$1004,P480)))</f>
        <v/>
      </c>
      <c r="R480" t="str">
        <f>IF(N480="","",IF(P480=0,SUMIFS(Calcoli!$D$7:$D$21,Calcoli!$A$7:$A$21,C480),INDEX($T$5:$T$1004,P480)))</f>
        <v/>
      </c>
      <c r="S480" t="str">
        <f>IF(N480="","",IF(B480="Acquisto",Q480+N(D480),MAX(0,Q480-N(D480))))</f>
        <v/>
      </c>
      <c r="T480" t="str">
        <f>IF(N480="","",IF(B480="Acquisto",R480+J480+N(G480),IF(Q480&lt;=0,0,R480*(1-MIN(1,N(D480)/Q480)))))</f>
        <v/>
      </c>
      <c r="U480" t="str">
        <f>IF(B480&lt;&gt;"Vendita","",J480-N(G480)-IF(Q480&lt;=0,0,R480*MIN(1,N(D480)/Q480)))</f>
        <v/>
      </c>
      <c r="V480" t="str">
        <f>IF(B480&lt;&gt;"Dividendo","",IF(Calcoli!$B$251=1,J480,L480))</f>
        <v/>
      </c>
      <c r="W480" t="str">
        <f>IF(AND(V480&lt;&gt;"",ISNUMBER(A480)),A480,"")</f>
        <v/>
      </c>
    </row>
    <row r="481">
      <c r="A481" s="134" t="n"/>
      <c r="B481" s="116" t="n"/>
      <c r="C481" s="116" t="n"/>
      <c r="D481" s="121" t="n"/>
      <c r="E481" s="120" t="n"/>
      <c r="F481" s="120" t="n"/>
      <c r="G481" s="120" t="n"/>
      <c r="H481" s="120" t="n"/>
      <c r="I481" s="117" t="n"/>
      <c r="J481" s="123" t="str">
        <f>IF(B481="","",IF(F481&lt;&gt;"",N(F481),ROUND(N(D481)*N(E481),2)))</f>
        <v/>
      </c>
      <c r="K481" s="123" t="str">
        <f>IF(B481="","",IF(H481&lt;&gt;"",N(H481),IF(B481="Dividendo",ROUND(J481*IFERROR(INDEX(Calcoli!$V$7:$V$21,MATCH(C481,Calcoli!$A$7:$A$21,0)),0.26),2),IF(B481="Vendita",ROUND(MAX(0,U481)*IFERROR(INDEX(Calcoli!$V$7:$V$21,MATCH(C481,Calcoli!$A$7:$A$21,0)),0.26),2),0))))</f>
        <v/>
      </c>
      <c r="L481" s="135" t="str">
        <f>IF(B481="","",IF(B481="Acquisto",-(J481+N(G481)),J481-N(G481)-K481))</f>
        <v/>
      </c>
      <c r="M481" s="127" t="str">
        <f>IF(B481="","",IF(ISNA(MATCH(C481,ETF!$A$7:$A$21,0)),"ETF?",IF(NOT(ISNUMBER(A481)),"Data?",IF(AND(B481&lt;&gt;"Dividendo",N(D481)&lt;=0),"Quote?",IF(AND(B481="Vendita",N(D481)&gt;N(Q481)+0.000001),"Quote?",IF(J481&lt;=0,"Importo?","✓"))))))</f>
        <v/>
      </c>
      <c r="N481" t="str">
        <f>IF(OR(B481="Acquisto",B481="Vendita"),COUNTIFS($C$5:C481,C481,$B$5:B481,"Acquisto")+COUNTIFS($C$5:C481,C481,$B$5:B481,"Vendita"),"")</f>
        <v/>
      </c>
      <c r="O481" t="str">
        <f>IF(N481="","",C481&amp;"|"&amp;N481)</f>
        <v/>
      </c>
      <c r="P481" t="str">
        <f>IF(N481="","",IF(N481=1,0,MATCH(C481&amp;"|"&amp;(N481-1),$O$5:$O$1004,0)))</f>
        <v/>
      </c>
      <c r="Q481" t="str">
        <f>IF(N481="","",IF(P481=0,SUMIFS(Calcoli!$C$7:$C$21,Calcoli!$A$7:$A$21,C481),INDEX($S$5:$S$1004,P481)))</f>
        <v/>
      </c>
      <c r="R481" t="str">
        <f>IF(N481="","",IF(P481=0,SUMIFS(Calcoli!$D$7:$D$21,Calcoli!$A$7:$A$21,C481),INDEX($T$5:$T$1004,P481)))</f>
        <v/>
      </c>
      <c r="S481" t="str">
        <f>IF(N481="","",IF(B481="Acquisto",Q481+N(D481),MAX(0,Q481-N(D481))))</f>
        <v/>
      </c>
      <c r="T481" t="str">
        <f>IF(N481="","",IF(B481="Acquisto",R481+J481+N(G481),IF(Q481&lt;=0,0,R481*(1-MIN(1,N(D481)/Q481)))))</f>
        <v/>
      </c>
      <c r="U481" t="str">
        <f>IF(B481&lt;&gt;"Vendita","",J481-N(G481)-IF(Q481&lt;=0,0,R481*MIN(1,N(D481)/Q481)))</f>
        <v/>
      </c>
      <c r="V481" t="str">
        <f>IF(B481&lt;&gt;"Dividendo","",IF(Calcoli!$B$251=1,J481,L481))</f>
        <v/>
      </c>
      <c r="W481" t="str">
        <f>IF(AND(V481&lt;&gt;"",ISNUMBER(A481)),A481,"")</f>
        <v/>
      </c>
    </row>
    <row r="482">
      <c r="A482" s="134" t="n"/>
      <c r="B482" s="116" t="n"/>
      <c r="C482" s="116" t="n"/>
      <c r="D482" s="121" t="n"/>
      <c r="E482" s="120" t="n"/>
      <c r="F482" s="120" t="n"/>
      <c r="G482" s="120" t="n"/>
      <c r="H482" s="120" t="n"/>
      <c r="I482" s="117" t="n"/>
      <c r="J482" s="123" t="str">
        <f>IF(B482="","",IF(F482&lt;&gt;"",N(F482),ROUND(N(D482)*N(E482),2)))</f>
        <v/>
      </c>
      <c r="K482" s="123" t="str">
        <f>IF(B482="","",IF(H482&lt;&gt;"",N(H482),IF(B482="Dividendo",ROUND(J482*IFERROR(INDEX(Calcoli!$V$7:$V$21,MATCH(C482,Calcoli!$A$7:$A$21,0)),0.26),2),IF(B482="Vendita",ROUND(MAX(0,U482)*IFERROR(INDEX(Calcoli!$V$7:$V$21,MATCH(C482,Calcoli!$A$7:$A$21,0)),0.26),2),0))))</f>
        <v/>
      </c>
      <c r="L482" s="135" t="str">
        <f>IF(B482="","",IF(B482="Acquisto",-(J482+N(G482)),J482-N(G482)-K482))</f>
        <v/>
      </c>
      <c r="M482" s="127" t="str">
        <f>IF(B482="","",IF(ISNA(MATCH(C482,ETF!$A$7:$A$21,0)),"ETF?",IF(NOT(ISNUMBER(A482)),"Data?",IF(AND(B482&lt;&gt;"Dividendo",N(D482)&lt;=0),"Quote?",IF(AND(B482="Vendita",N(D482)&gt;N(Q482)+0.000001),"Quote?",IF(J482&lt;=0,"Importo?","✓"))))))</f>
        <v/>
      </c>
      <c r="N482" t="str">
        <f>IF(OR(B482="Acquisto",B482="Vendita"),COUNTIFS($C$5:C482,C482,$B$5:B482,"Acquisto")+COUNTIFS($C$5:C482,C482,$B$5:B482,"Vendita"),"")</f>
        <v/>
      </c>
      <c r="O482" t="str">
        <f>IF(N482="","",C482&amp;"|"&amp;N482)</f>
        <v/>
      </c>
      <c r="P482" t="str">
        <f>IF(N482="","",IF(N482=1,0,MATCH(C482&amp;"|"&amp;(N482-1),$O$5:$O$1004,0)))</f>
        <v/>
      </c>
      <c r="Q482" t="str">
        <f>IF(N482="","",IF(P482=0,SUMIFS(Calcoli!$C$7:$C$21,Calcoli!$A$7:$A$21,C482),INDEX($S$5:$S$1004,P482)))</f>
        <v/>
      </c>
      <c r="R482" t="str">
        <f>IF(N482="","",IF(P482=0,SUMIFS(Calcoli!$D$7:$D$21,Calcoli!$A$7:$A$21,C482),INDEX($T$5:$T$1004,P482)))</f>
        <v/>
      </c>
      <c r="S482" t="str">
        <f>IF(N482="","",IF(B482="Acquisto",Q482+N(D482),MAX(0,Q482-N(D482))))</f>
        <v/>
      </c>
      <c r="T482" t="str">
        <f>IF(N482="","",IF(B482="Acquisto",R482+J482+N(G482),IF(Q482&lt;=0,0,R482*(1-MIN(1,N(D482)/Q482)))))</f>
        <v/>
      </c>
      <c r="U482" t="str">
        <f>IF(B482&lt;&gt;"Vendita","",J482-N(G482)-IF(Q482&lt;=0,0,R482*MIN(1,N(D482)/Q482)))</f>
        <v/>
      </c>
      <c r="V482" t="str">
        <f>IF(B482&lt;&gt;"Dividendo","",IF(Calcoli!$B$251=1,J482,L482))</f>
        <v/>
      </c>
      <c r="W482" t="str">
        <f>IF(AND(V482&lt;&gt;"",ISNUMBER(A482)),A482,"")</f>
        <v/>
      </c>
    </row>
    <row r="483">
      <c r="A483" s="134" t="n"/>
      <c r="B483" s="116" t="n"/>
      <c r="C483" s="116" t="n"/>
      <c r="D483" s="121" t="n"/>
      <c r="E483" s="120" t="n"/>
      <c r="F483" s="120" t="n"/>
      <c r="G483" s="120" t="n"/>
      <c r="H483" s="120" t="n"/>
      <c r="I483" s="117" t="n"/>
      <c r="J483" s="123" t="str">
        <f>IF(B483="","",IF(F483&lt;&gt;"",N(F483),ROUND(N(D483)*N(E483),2)))</f>
        <v/>
      </c>
      <c r="K483" s="123" t="str">
        <f>IF(B483="","",IF(H483&lt;&gt;"",N(H483),IF(B483="Dividendo",ROUND(J483*IFERROR(INDEX(Calcoli!$V$7:$V$21,MATCH(C483,Calcoli!$A$7:$A$21,0)),0.26),2),IF(B483="Vendita",ROUND(MAX(0,U483)*IFERROR(INDEX(Calcoli!$V$7:$V$21,MATCH(C483,Calcoli!$A$7:$A$21,0)),0.26),2),0))))</f>
        <v/>
      </c>
      <c r="L483" s="135" t="str">
        <f>IF(B483="","",IF(B483="Acquisto",-(J483+N(G483)),J483-N(G483)-K483))</f>
        <v/>
      </c>
      <c r="M483" s="127" t="str">
        <f>IF(B483="","",IF(ISNA(MATCH(C483,ETF!$A$7:$A$21,0)),"ETF?",IF(NOT(ISNUMBER(A483)),"Data?",IF(AND(B483&lt;&gt;"Dividendo",N(D483)&lt;=0),"Quote?",IF(AND(B483="Vendita",N(D483)&gt;N(Q483)+0.000001),"Quote?",IF(J483&lt;=0,"Importo?","✓"))))))</f>
        <v/>
      </c>
      <c r="N483" t="str">
        <f>IF(OR(B483="Acquisto",B483="Vendita"),COUNTIFS($C$5:C483,C483,$B$5:B483,"Acquisto")+COUNTIFS($C$5:C483,C483,$B$5:B483,"Vendita"),"")</f>
        <v/>
      </c>
      <c r="O483" t="str">
        <f>IF(N483="","",C483&amp;"|"&amp;N483)</f>
        <v/>
      </c>
      <c r="P483" t="str">
        <f>IF(N483="","",IF(N483=1,0,MATCH(C483&amp;"|"&amp;(N483-1),$O$5:$O$1004,0)))</f>
        <v/>
      </c>
      <c r="Q483" t="str">
        <f>IF(N483="","",IF(P483=0,SUMIFS(Calcoli!$C$7:$C$21,Calcoli!$A$7:$A$21,C483),INDEX($S$5:$S$1004,P483)))</f>
        <v/>
      </c>
      <c r="R483" t="str">
        <f>IF(N483="","",IF(P483=0,SUMIFS(Calcoli!$D$7:$D$21,Calcoli!$A$7:$A$21,C483),INDEX($T$5:$T$1004,P483)))</f>
        <v/>
      </c>
      <c r="S483" t="str">
        <f>IF(N483="","",IF(B483="Acquisto",Q483+N(D483),MAX(0,Q483-N(D483))))</f>
        <v/>
      </c>
      <c r="T483" t="str">
        <f>IF(N483="","",IF(B483="Acquisto",R483+J483+N(G483),IF(Q483&lt;=0,0,R483*(1-MIN(1,N(D483)/Q483)))))</f>
        <v/>
      </c>
      <c r="U483" t="str">
        <f>IF(B483&lt;&gt;"Vendita","",J483-N(G483)-IF(Q483&lt;=0,0,R483*MIN(1,N(D483)/Q483)))</f>
        <v/>
      </c>
      <c r="V483" t="str">
        <f>IF(B483&lt;&gt;"Dividendo","",IF(Calcoli!$B$251=1,J483,L483))</f>
        <v/>
      </c>
      <c r="W483" t="str">
        <f>IF(AND(V483&lt;&gt;"",ISNUMBER(A483)),A483,"")</f>
        <v/>
      </c>
    </row>
    <row r="484">
      <c r="A484" s="134" t="n"/>
      <c r="B484" s="116" t="n"/>
      <c r="C484" s="116" t="n"/>
      <c r="D484" s="121" t="n"/>
      <c r="E484" s="120" t="n"/>
      <c r="F484" s="120" t="n"/>
      <c r="G484" s="120" t="n"/>
      <c r="H484" s="120" t="n"/>
      <c r="I484" s="117" t="n"/>
      <c r="J484" s="123" t="str">
        <f>IF(B484="","",IF(F484&lt;&gt;"",N(F484),ROUND(N(D484)*N(E484),2)))</f>
        <v/>
      </c>
      <c r="K484" s="123" t="str">
        <f>IF(B484="","",IF(H484&lt;&gt;"",N(H484),IF(B484="Dividendo",ROUND(J484*IFERROR(INDEX(Calcoli!$V$7:$V$21,MATCH(C484,Calcoli!$A$7:$A$21,0)),0.26),2),IF(B484="Vendita",ROUND(MAX(0,U484)*IFERROR(INDEX(Calcoli!$V$7:$V$21,MATCH(C484,Calcoli!$A$7:$A$21,0)),0.26),2),0))))</f>
        <v/>
      </c>
      <c r="L484" s="135" t="str">
        <f>IF(B484="","",IF(B484="Acquisto",-(J484+N(G484)),J484-N(G484)-K484))</f>
        <v/>
      </c>
      <c r="M484" s="127" t="str">
        <f>IF(B484="","",IF(ISNA(MATCH(C484,ETF!$A$7:$A$21,0)),"ETF?",IF(NOT(ISNUMBER(A484)),"Data?",IF(AND(B484&lt;&gt;"Dividendo",N(D484)&lt;=0),"Quote?",IF(AND(B484="Vendita",N(D484)&gt;N(Q484)+0.000001),"Quote?",IF(J484&lt;=0,"Importo?","✓"))))))</f>
        <v/>
      </c>
      <c r="N484" t="str">
        <f>IF(OR(B484="Acquisto",B484="Vendita"),COUNTIFS($C$5:C484,C484,$B$5:B484,"Acquisto")+COUNTIFS($C$5:C484,C484,$B$5:B484,"Vendita"),"")</f>
        <v/>
      </c>
      <c r="O484" t="str">
        <f>IF(N484="","",C484&amp;"|"&amp;N484)</f>
        <v/>
      </c>
      <c r="P484" t="str">
        <f>IF(N484="","",IF(N484=1,0,MATCH(C484&amp;"|"&amp;(N484-1),$O$5:$O$1004,0)))</f>
        <v/>
      </c>
      <c r="Q484" t="str">
        <f>IF(N484="","",IF(P484=0,SUMIFS(Calcoli!$C$7:$C$21,Calcoli!$A$7:$A$21,C484),INDEX($S$5:$S$1004,P484)))</f>
        <v/>
      </c>
      <c r="R484" t="str">
        <f>IF(N484="","",IF(P484=0,SUMIFS(Calcoli!$D$7:$D$21,Calcoli!$A$7:$A$21,C484),INDEX($T$5:$T$1004,P484)))</f>
        <v/>
      </c>
      <c r="S484" t="str">
        <f>IF(N484="","",IF(B484="Acquisto",Q484+N(D484),MAX(0,Q484-N(D484))))</f>
        <v/>
      </c>
      <c r="T484" t="str">
        <f>IF(N484="","",IF(B484="Acquisto",R484+J484+N(G484),IF(Q484&lt;=0,0,R484*(1-MIN(1,N(D484)/Q484)))))</f>
        <v/>
      </c>
      <c r="U484" t="str">
        <f>IF(B484&lt;&gt;"Vendita","",J484-N(G484)-IF(Q484&lt;=0,0,R484*MIN(1,N(D484)/Q484)))</f>
        <v/>
      </c>
      <c r="V484" t="str">
        <f>IF(B484&lt;&gt;"Dividendo","",IF(Calcoli!$B$251=1,J484,L484))</f>
        <v/>
      </c>
      <c r="W484" t="str">
        <f>IF(AND(V484&lt;&gt;"",ISNUMBER(A484)),A484,"")</f>
        <v/>
      </c>
    </row>
    <row r="485">
      <c r="A485" s="134" t="n"/>
      <c r="B485" s="116" t="n"/>
      <c r="C485" s="116" t="n"/>
      <c r="D485" s="121" t="n"/>
      <c r="E485" s="120" t="n"/>
      <c r="F485" s="120" t="n"/>
      <c r="G485" s="120" t="n"/>
      <c r="H485" s="120" t="n"/>
      <c r="I485" s="117" t="n"/>
      <c r="J485" s="123" t="str">
        <f>IF(B485="","",IF(F485&lt;&gt;"",N(F485),ROUND(N(D485)*N(E485),2)))</f>
        <v/>
      </c>
      <c r="K485" s="123" t="str">
        <f>IF(B485="","",IF(H485&lt;&gt;"",N(H485),IF(B485="Dividendo",ROUND(J485*IFERROR(INDEX(Calcoli!$V$7:$V$21,MATCH(C485,Calcoli!$A$7:$A$21,0)),0.26),2),IF(B485="Vendita",ROUND(MAX(0,U485)*IFERROR(INDEX(Calcoli!$V$7:$V$21,MATCH(C485,Calcoli!$A$7:$A$21,0)),0.26),2),0))))</f>
        <v/>
      </c>
      <c r="L485" s="135" t="str">
        <f>IF(B485="","",IF(B485="Acquisto",-(J485+N(G485)),J485-N(G485)-K485))</f>
        <v/>
      </c>
      <c r="M485" s="127" t="str">
        <f>IF(B485="","",IF(ISNA(MATCH(C485,ETF!$A$7:$A$21,0)),"ETF?",IF(NOT(ISNUMBER(A485)),"Data?",IF(AND(B485&lt;&gt;"Dividendo",N(D485)&lt;=0),"Quote?",IF(AND(B485="Vendita",N(D485)&gt;N(Q485)+0.000001),"Quote?",IF(J485&lt;=0,"Importo?","✓"))))))</f>
        <v/>
      </c>
      <c r="N485" t="str">
        <f>IF(OR(B485="Acquisto",B485="Vendita"),COUNTIFS($C$5:C485,C485,$B$5:B485,"Acquisto")+COUNTIFS($C$5:C485,C485,$B$5:B485,"Vendita"),"")</f>
        <v/>
      </c>
      <c r="O485" t="str">
        <f>IF(N485="","",C485&amp;"|"&amp;N485)</f>
        <v/>
      </c>
      <c r="P485" t="str">
        <f>IF(N485="","",IF(N485=1,0,MATCH(C485&amp;"|"&amp;(N485-1),$O$5:$O$1004,0)))</f>
        <v/>
      </c>
      <c r="Q485" t="str">
        <f>IF(N485="","",IF(P485=0,SUMIFS(Calcoli!$C$7:$C$21,Calcoli!$A$7:$A$21,C485),INDEX($S$5:$S$1004,P485)))</f>
        <v/>
      </c>
      <c r="R485" t="str">
        <f>IF(N485="","",IF(P485=0,SUMIFS(Calcoli!$D$7:$D$21,Calcoli!$A$7:$A$21,C485),INDEX($T$5:$T$1004,P485)))</f>
        <v/>
      </c>
      <c r="S485" t="str">
        <f>IF(N485="","",IF(B485="Acquisto",Q485+N(D485),MAX(0,Q485-N(D485))))</f>
        <v/>
      </c>
      <c r="T485" t="str">
        <f>IF(N485="","",IF(B485="Acquisto",R485+J485+N(G485),IF(Q485&lt;=0,0,R485*(1-MIN(1,N(D485)/Q485)))))</f>
        <v/>
      </c>
      <c r="U485" t="str">
        <f>IF(B485&lt;&gt;"Vendita","",J485-N(G485)-IF(Q485&lt;=0,0,R485*MIN(1,N(D485)/Q485)))</f>
        <v/>
      </c>
      <c r="V485" t="str">
        <f>IF(B485&lt;&gt;"Dividendo","",IF(Calcoli!$B$251=1,J485,L485))</f>
        <v/>
      </c>
      <c r="W485" t="str">
        <f>IF(AND(V485&lt;&gt;"",ISNUMBER(A485)),A485,"")</f>
        <v/>
      </c>
    </row>
    <row r="486">
      <c r="A486" s="134" t="n"/>
      <c r="B486" s="116" t="n"/>
      <c r="C486" s="116" t="n"/>
      <c r="D486" s="121" t="n"/>
      <c r="E486" s="120" t="n"/>
      <c r="F486" s="120" t="n"/>
      <c r="G486" s="120" t="n"/>
      <c r="H486" s="120" t="n"/>
      <c r="I486" s="117" t="n"/>
      <c r="J486" s="123" t="str">
        <f>IF(B486="","",IF(F486&lt;&gt;"",N(F486),ROUND(N(D486)*N(E486),2)))</f>
        <v/>
      </c>
      <c r="K486" s="123" t="str">
        <f>IF(B486="","",IF(H486&lt;&gt;"",N(H486),IF(B486="Dividendo",ROUND(J486*IFERROR(INDEX(Calcoli!$V$7:$V$21,MATCH(C486,Calcoli!$A$7:$A$21,0)),0.26),2),IF(B486="Vendita",ROUND(MAX(0,U486)*IFERROR(INDEX(Calcoli!$V$7:$V$21,MATCH(C486,Calcoli!$A$7:$A$21,0)),0.26),2),0))))</f>
        <v/>
      </c>
      <c r="L486" s="135" t="str">
        <f>IF(B486="","",IF(B486="Acquisto",-(J486+N(G486)),J486-N(G486)-K486))</f>
        <v/>
      </c>
      <c r="M486" s="127" t="str">
        <f>IF(B486="","",IF(ISNA(MATCH(C486,ETF!$A$7:$A$21,0)),"ETF?",IF(NOT(ISNUMBER(A486)),"Data?",IF(AND(B486&lt;&gt;"Dividendo",N(D486)&lt;=0),"Quote?",IF(AND(B486="Vendita",N(D486)&gt;N(Q486)+0.000001),"Quote?",IF(J486&lt;=0,"Importo?","✓"))))))</f>
        <v/>
      </c>
      <c r="N486" t="str">
        <f>IF(OR(B486="Acquisto",B486="Vendita"),COUNTIFS($C$5:C486,C486,$B$5:B486,"Acquisto")+COUNTIFS($C$5:C486,C486,$B$5:B486,"Vendita"),"")</f>
        <v/>
      </c>
      <c r="O486" t="str">
        <f>IF(N486="","",C486&amp;"|"&amp;N486)</f>
        <v/>
      </c>
      <c r="P486" t="str">
        <f>IF(N486="","",IF(N486=1,0,MATCH(C486&amp;"|"&amp;(N486-1),$O$5:$O$1004,0)))</f>
        <v/>
      </c>
      <c r="Q486" t="str">
        <f>IF(N486="","",IF(P486=0,SUMIFS(Calcoli!$C$7:$C$21,Calcoli!$A$7:$A$21,C486),INDEX($S$5:$S$1004,P486)))</f>
        <v/>
      </c>
      <c r="R486" t="str">
        <f>IF(N486="","",IF(P486=0,SUMIFS(Calcoli!$D$7:$D$21,Calcoli!$A$7:$A$21,C486),INDEX($T$5:$T$1004,P486)))</f>
        <v/>
      </c>
      <c r="S486" t="str">
        <f>IF(N486="","",IF(B486="Acquisto",Q486+N(D486),MAX(0,Q486-N(D486))))</f>
        <v/>
      </c>
      <c r="T486" t="str">
        <f>IF(N486="","",IF(B486="Acquisto",R486+J486+N(G486),IF(Q486&lt;=0,0,R486*(1-MIN(1,N(D486)/Q486)))))</f>
        <v/>
      </c>
      <c r="U486" t="str">
        <f>IF(B486&lt;&gt;"Vendita","",J486-N(G486)-IF(Q486&lt;=0,0,R486*MIN(1,N(D486)/Q486)))</f>
        <v/>
      </c>
      <c r="V486" t="str">
        <f>IF(B486&lt;&gt;"Dividendo","",IF(Calcoli!$B$251=1,J486,L486))</f>
        <v/>
      </c>
      <c r="W486" t="str">
        <f>IF(AND(V486&lt;&gt;"",ISNUMBER(A486)),A486,"")</f>
        <v/>
      </c>
    </row>
    <row r="487">
      <c r="A487" s="134" t="n"/>
      <c r="B487" s="116" t="n"/>
      <c r="C487" s="116" t="n"/>
      <c r="D487" s="121" t="n"/>
      <c r="E487" s="120" t="n"/>
      <c r="F487" s="120" t="n"/>
      <c r="G487" s="120" t="n"/>
      <c r="H487" s="120" t="n"/>
      <c r="I487" s="117" t="n"/>
      <c r="J487" s="123" t="str">
        <f>IF(B487="","",IF(F487&lt;&gt;"",N(F487),ROUND(N(D487)*N(E487),2)))</f>
        <v/>
      </c>
      <c r="K487" s="123" t="str">
        <f>IF(B487="","",IF(H487&lt;&gt;"",N(H487),IF(B487="Dividendo",ROUND(J487*IFERROR(INDEX(Calcoli!$V$7:$V$21,MATCH(C487,Calcoli!$A$7:$A$21,0)),0.26),2),IF(B487="Vendita",ROUND(MAX(0,U487)*IFERROR(INDEX(Calcoli!$V$7:$V$21,MATCH(C487,Calcoli!$A$7:$A$21,0)),0.26),2),0))))</f>
        <v/>
      </c>
      <c r="L487" s="135" t="str">
        <f>IF(B487="","",IF(B487="Acquisto",-(J487+N(G487)),J487-N(G487)-K487))</f>
        <v/>
      </c>
      <c r="M487" s="127" t="str">
        <f>IF(B487="","",IF(ISNA(MATCH(C487,ETF!$A$7:$A$21,0)),"ETF?",IF(NOT(ISNUMBER(A487)),"Data?",IF(AND(B487&lt;&gt;"Dividendo",N(D487)&lt;=0),"Quote?",IF(AND(B487="Vendita",N(D487)&gt;N(Q487)+0.000001),"Quote?",IF(J487&lt;=0,"Importo?","✓"))))))</f>
        <v/>
      </c>
      <c r="N487" t="str">
        <f>IF(OR(B487="Acquisto",B487="Vendita"),COUNTIFS($C$5:C487,C487,$B$5:B487,"Acquisto")+COUNTIFS($C$5:C487,C487,$B$5:B487,"Vendita"),"")</f>
        <v/>
      </c>
      <c r="O487" t="str">
        <f>IF(N487="","",C487&amp;"|"&amp;N487)</f>
        <v/>
      </c>
      <c r="P487" t="str">
        <f>IF(N487="","",IF(N487=1,0,MATCH(C487&amp;"|"&amp;(N487-1),$O$5:$O$1004,0)))</f>
        <v/>
      </c>
      <c r="Q487" t="str">
        <f>IF(N487="","",IF(P487=0,SUMIFS(Calcoli!$C$7:$C$21,Calcoli!$A$7:$A$21,C487),INDEX($S$5:$S$1004,P487)))</f>
        <v/>
      </c>
      <c r="R487" t="str">
        <f>IF(N487="","",IF(P487=0,SUMIFS(Calcoli!$D$7:$D$21,Calcoli!$A$7:$A$21,C487),INDEX($T$5:$T$1004,P487)))</f>
        <v/>
      </c>
      <c r="S487" t="str">
        <f>IF(N487="","",IF(B487="Acquisto",Q487+N(D487),MAX(0,Q487-N(D487))))</f>
        <v/>
      </c>
      <c r="T487" t="str">
        <f>IF(N487="","",IF(B487="Acquisto",R487+J487+N(G487),IF(Q487&lt;=0,0,R487*(1-MIN(1,N(D487)/Q487)))))</f>
        <v/>
      </c>
      <c r="U487" t="str">
        <f>IF(B487&lt;&gt;"Vendita","",J487-N(G487)-IF(Q487&lt;=0,0,R487*MIN(1,N(D487)/Q487)))</f>
        <v/>
      </c>
      <c r="V487" t="str">
        <f>IF(B487&lt;&gt;"Dividendo","",IF(Calcoli!$B$251=1,J487,L487))</f>
        <v/>
      </c>
      <c r="W487" t="str">
        <f>IF(AND(V487&lt;&gt;"",ISNUMBER(A487)),A487,"")</f>
        <v/>
      </c>
    </row>
    <row r="488">
      <c r="A488" s="134" t="n"/>
      <c r="B488" s="116" t="n"/>
      <c r="C488" s="116" t="n"/>
      <c r="D488" s="121" t="n"/>
      <c r="E488" s="120" t="n"/>
      <c r="F488" s="120" t="n"/>
      <c r="G488" s="120" t="n"/>
      <c r="H488" s="120" t="n"/>
      <c r="I488" s="117" t="n"/>
      <c r="J488" s="123" t="str">
        <f>IF(B488="","",IF(F488&lt;&gt;"",N(F488),ROUND(N(D488)*N(E488),2)))</f>
        <v/>
      </c>
      <c r="K488" s="123" t="str">
        <f>IF(B488="","",IF(H488&lt;&gt;"",N(H488),IF(B488="Dividendo",ROUND(J488*IFERROR(INDEX(Calcoli!$V$7:$V$21,MATCH(C488,Calcoli!$A$7:$A$21,0)),0.26),2),IF(B488="Vendita",ROUND(MAX(0,U488)*IFERROR(INDEX(Calcoli!$V$7:$V$21,MATCH(C488,Calcoli!$A$7:$A$21,0)),0.26),2),0))))</f>
        <v/>
      </c>
      <c r="L488" s="135" t="str">
        <f>IF(B488="","",IF(B488="Acquisto",-(J488+N(G488)),J488-N(G488)-K488))</f>
        <v/>
      </c>
      <c r="M488" s="127" t="str">
        <f>IF(B488="","",IF(ISNA(MATCH(C488,ETF!$A$7:$A$21,0)),"ETF?",IF(NOT(ISNUMBER(A488)),"Data?",IF(AND(B488&lt;&gt;"Dividendo",N(D488)&lt;=0),"Quote?",IF(AND(B488="Vendita",N(D488)&gt;N(Q488)+0.000001),"Quote?",IF(J488&lt;=0,"Importo?","✓"))))))</f>
        <v/>
      </c>
      <c r="N488" t="str">
        <f>IF(OR(B488="Acquisto",B488="Vendita"),COUNTIFS($C$5:C488,C488,$B$5:B488,"Acquisto")+COUNTIFS($C$5:C488,C488,$B$5:B488,"Vendita"),"")</f>
        <v/>
      </c>
      <c r="O488" t="str">
        <f>IF(N488="","",C488&amp;"|"&amp;N488)</f>
        <v/>
      </c>
      <c r="P488" t="str">
        <f>IF(N488="","",IF(N488=1,0,MATCH(C488&amp;"|"&amp;(N488-1),$O$5:$O$1004,0)))</f>
        <v/>
      </c>
      <c r="Q488" t="str">
        <f>IF(N488="","",IF(P488=0,SUMIFS(Calcoli!$C$7:$C$21,Calcoli!$A$7:$A$21,C488),INDEX($S$5:$S$1004,P488)))</f>
        <v/>
      </c>
      <c r="R488" t="str">
        <f>IF(N488="","",IF(P488=0,SUMIFS(Calcoli!$D$7:$D$21,Calcoli!$A$7:$A$21,C488),INDEX($T$5:$T$1004,P488)))</f>
        <v/>
      </c>
      <c r="S488" t="str">
        <f>IF(N488="","",IF(B488="Acquisto",Q488+N(D488),MAX(0,Q488-N(D488))))</f>
        <v/>
      </c>
      <c r="T488" t="str">
        <f>IF(N488="","",IF(B488="Acquisto",R488+J488+N(G488),IF(Q488&lt;=0,0,R488*(1-MIN(1,N(D488)/Q488)))))</f>
        <v/>
      </c>
      <c r="U488" t="str">
        <f>IF(B488&lt;&gt;"Vendita","",J488-N(G488)-IF(Q488&lt;=0,0,R488*MIN(1,N(D488)/Q488)))</f>
        <v/>
      </c>
      <c r="V488" t="str">
        <f>IF(B488&lt;&gt;"Dividendo","",IF(Calcoli!$B$251=1,J488,L488))</f>
        <v/>
      </c>
      <c r="W488" t="str">
        <f>IF(AND(V488&lt;&gt;"",ISNUMBER(A488)),A488,"")</f>
        <v/>
      </c>
    </row>
    <row r="489">
      <c r="A489" s="134" t="n"/>
      <c r="B489" s="116" t="n"/>
      <c r="C489" s="116" t="n"/>
      <c r="D489" s="121" t="n"/>
      <c r="E489" s="120" t="n"/>
      <c r="F489" s="120" t="n"/>
      <c r="G489" s="120" t="n"/>
      <c r="H489" s="120" t="n"/>
      <c r="I489" s="117" t="n"/>
      <c r="J489" s="123" t="str">
        <f>IF(B489="","",IF(F489&lt;&gt;"",N(F489),ROUND(N(D489)*N(E489),2)))</f>
        <v/>
      </c>
      <c r="K489" s="123" t="str">
        <f>IF(B489="","",IF(H489&lt;&gt;"",N(H489),IF(B489="Dividendo",ROUND(J489*IFERROR(INDEX(Calcoli!$V$7:$V$21,MATCH(C489,Calcoli!$A$7:$A$21,0)),0.26),2),IF(B489="Vendita",ROUND(MAX(0,U489)*IFERROR(INDEX(Calcoli!$V$7:$V$21,MATCH(C489,Calcoli!$A$7:$A$21,0)),0.26),2),0))))</f>
        <v/>
      </c>
      <c r="L489" s="135" t="str">
        <f>IF(B489="","",IF(B489="Acquisto",-(J489+N(G489)),J489-N(G489)-K489))</f>
        <v/>
      </c>
      <c r="M489" s="127" t="str">
        <f>IF(B489="","",IF(ISNA(MATCH(C489,ETF!$A$7:$A$21,0)),"ETF?",IF(NOT(ISNUMBER(A489)),"Data?",IF(AND(B489&lt;&gt;"Dividendo",N(D489)&lt;=0),"Quote?",IF(AND(B489="Vendita",N(D489)&gt;N(Q489)+0.000001),"Quote?",IF(J489&lt;=0,"Importo?","✓"))))))</f>
        <v/>
      </c>
      <c r="N489" t="str">
        <f>IF(OR(B489="Acquisto",B489="Vendita"),COUNTIFS($C$5:C489,C489,$B$5:B489,"Acquisto")+COUNTIFS($C$5:C489,C489,$B$5:B489,"Vendita"),"")</f>
        <v/>
      </c>
      <c r="O489" t="str">
        <f>IF(N489="","",C489&amp;"|"&amp;N489)</f>
        <v/>
      </c>
      <c r="P489" t="str">
        <f>IF(N489="","",IF(N489=1,0,MATCH(C489&amp;"|"&amp;(N489-1),$O$5:$O$1004,0)))</f>
        <v/>
      </c>
      <c r="Q489" t="str">
        <f>IF(N489="","",IF(P489=0,SUMIFS(Calcoli!$C$7:$C$21,Calcoli!$A$7:$A$21,C489),INDEX($S$5:$S$1004,P489)))</f>
        <v/>
      </c>
      <c r="R489" t="str">
        <f>IF(N489="","",IF(P489=0,SUMIFS(Calcoli!$D$7:$D$21,Calcoli!$A$7:$A$21,C489),INDEX($T$5:$T$1004,P489)))</f>
        <v/>
      </c>
      <c r="S489" t="str">
        <f>IF(N489="","",IF(B489="Acquisto",Q489+N(D489),MAX(0,Q489-N(D489))))</f>
        <v/>
      </c>
      <c r="T489" t="str">
        <f>IF(N489="","",IF(B489="Acquisto",R489+J489+N(G489),IF(Q489&lt;=0,0,R489*(1-MIN(1,N(D489)/Q489)))))</f>
        <v/>
      </c>
      <c r="U489" t="str">
        <f>IF(B489&lt;&gt;"Vendita","",J489-N(G489)-IF(Q489&lt;=0,0,R489*MIN(1,N(D489)/Q489)))</f>
        <v/>
      </c>
      <c r="V489" t="str">
        <f>IF(B489&lt;&gt;"Dividendo","",IF(Calcoli!$B$251=1,J489,L489))</f>
        <v/>
      </c>
      <c r="W489" t="str">
        <f>IF(AND(V489&lt;&gt;"",ISNUMBER(A489)),A489,"")</f>
        <v/>
      </c>
    </row>
    <row r="490">
      <c r="A490" s="134" t="n"/>
      <c r="B490" s="116" t="n"/>
      <c r="C490" s="116" t="n"/>
      <c r="D490" s="121" t="n"/>
      <c r="E490" s="120" t="n"/>
      <c r="F490" s="120" t="n"/>
      <c r="G490" s="120" t="n"/>
      <c r="H490" s="120" t="n"/>
      <c r="I490" s="117" t="n"/>
      <c r="J490" s="123" t="str">
        <f>IF(B490="","",IF(F490&lt;&gt;"",N(F490),ROUND(N(D490)*N(E490),2)))</f>
        <v/>
      </c>
      <c r="K490" s="123" t="str">
        <f>IF(B490="","",IF(H490&lt;&gt;"",N(H490),IF(B490="Dividendo",ROUND(J490*IFERROR(INDEX(Calcoli!$V$7:$V$21,MATCH(C490,Calcoli!$A$7:$A$21,0)),0.26),2),IF(B490="Vendita",ROUND(MAX(0,U490)*IFERROR(INDEX(Calcoli!$V$7:$V$21,MATCH(C490,Calcoli!$A$7:$A$21,0)),0.26),2),0))))</f>
        <v/>
      </c>
      <c r="L490" s="135" t="str">
        <f>IF(B490="","",IF(B490="Acquisto",-(J490+N(G490)),J490-N(G490)-K490))</f>
        <v/>
      </c>
      <c r="M490" s="127" t="str">
        <f>IF(B490="","",IF(ISNA(MATCH(C490,ETF!$A$7:$A$21,0)),"ETF?",IF(NOT(ISNUMBER(A490)),"Data?",IF(AND(B490&lt;&gt;"Dividendo",N(D490)&lt;=0),"Quote?",IF(AND(B490="Vendita",N(D490)&gt;N(Q490)+0.000001),"Quote?",IF(J490&lt;=0,"Importo?","✓"))))))</f>
        <v/>
      </c>
      <c r="N490" t="str">
        <f>IF(OR(B490="Acquisto",B490="Vendita"),COUNTIFS($C$5:C490,C490,$B$5:B490,"Acquisto")+COUNTIFS($C$5:C490,C490,$B$5:B490,"Vendita"),"")</f>
        <v/>
      </c>
      <c r="O490" t="str">
        <f>IF(N490="","",C490&amp;"|"&amp;N490)</f>
        <v/>
      </c>
      <c r="P490" t="str">
        <f>IF(N490="","",IF(N490=1,0,MATCH(C490&amp;"|"&amp;(N490-1),$O$5:$O$1004,0)))</f>
        <v/>
      </c>
      <c r="Q490" t="str">
        <f>IF(N490="","",IF(P490=0,SUMIFS(Calcoli!$C$7:$C$21,Calcoli!$A$7:$A$21,C490),INDEX($S$5:$S$1004,P490)))</f>
        <v/>
      </c>
      <c r="R490" t="str">
        <f>IF(N490="","",IF(P490=0,SUMIFS(Calcoli!$D$7:$D$21,Calcoli!$A$7:$A$21,C490),INDEX($T$5:$T$1004,P490)))</f>
        <v/>
      </c>
      <c r="S490" t="str">
        <f>IF(N490="","",IF(B490="Acquisto",Q490+N(D490),MAX(0,Q490-N(D490))))</f>
        <v/>
      </c>
      <c r="T490" t="str">
        <f>IF(N490="","",IF(B490="Acquisto",R490+J490+N(G490),IF(Q490&lt;=0,0,R490*(1-MIN(1,N(D490)/Q490)))))</f>
        <v/>
      </c>
      <c r="U490" t="str">
        <f>IF(B490&lt;&gt;"Vendita","",J490-N(G490)-IF(Q490&lt;=0,0,R490*MIN(1,N(D490)/Q490)))</f>
        <v/>
      </c>
      <c r="V490" t="str">
        <f>IF(B490&lt;&gt;"Dividendo","",IF(Calcoli!$B$251=1,J490,L490))</f>
        <v/>
      </c>
      <c r="W490" t="str">
        <f>IF(AND(V490&lt;&gt;"",ISNUMBER(A490)),A490,"")</f>
        <v/>
      </c>
    </row>
    <row r="491">
      <c r="A491" s="134" t="n"/>
      <c r="B491" s="116" t="n"/>
      <c r="C491" s="116" t="n"/>
      <c r="D491" s="121" t="n"/>
      <c r="E491" s="120" t="n"/>
      <c r="F491" s="120" t="n"/>
      <c r="G491" s="120" t="n"/>
      <c r="H491" s="120" t="n"/>
      <c r="I491" s="117" t="n"/>
      <c r="J491" s="123" t="str">
        <f>IF(B491="","",IF(F491&lt;&gt;"",N(F491),ROUND(N(D491)*N(E491),2)))</f>
        <v/>
      </c>
      <c r="K491" s="123" t="str">
        <f>IF(B491="","",IF(H491&lt;&gt;"",N(H491),IF(B491="Dividendo",ROUND(J491*IFERROR(INDEX(Calcoli!$V$7:$V$21,MATCH(C491,Calcoli!$A$7:$A$21,0)),0.26),2),IF(B491="Vendita",ROUND(MAX(0,U491)*IFERROR(INDEX(Calcoli!$V$7:$V$21,MATCH(C491,Calcoli!$A$7:$A$21,0)),0.26),2),0))))</f>
        <v/>
      </c>
      <c r="L491" s="135" t="str">
        <f>IF(B491="","",IF(B491="Acquisto",-(J491+N(G491)),J491-N(G491)-K491))</f>
        <v/>
      </c>
      <c r="M491" s="127" t="str">
        <f>IF(B491="","",IF(ISNA(MATCH(C491,ETF!$A$7:$A$21,0)),"ETF?",IF(NOT(ISNUMBER(A491)),"Data?",IF(AND(B491&lt;&gt;"Dividendo",N(D491)&lt;=0),"Quote?",IF(AND(B491="Vendita",N(D491)&gt;N(Q491)+0.000001),"Quote?",IF(J491&lt;=0,"Importo?","✓"))))))</f>
        <v/>
      </c>
      <c r="N491" t="str">
        <f>IF(OR(B491="Acquisto",B491="Vendita"),COUNTIFS($C$5:C491,C491,$B$5:B491,"Acquisto")+COUNTIFS($C$5:C491,C491,$B$5:B491,"Vendita"),"")</f>
        <v/>
      </c>
      <c r="O491" t="str">
        <f>IF(N491="","",C491&amp;"|"&amp;N491)</f>
        <v/>
      </c>
      <c r="P491" t="str">
        <f>IF(N491="","",IF(N491=1,0,MATCH(C491&amp;"|"&amp;(N491-1),$O$5:$O$1004,0)))</f>
        <v/>
      </c>
      <c r="Q491" t="str">
        <f>IF(N491="","",IF(P491=0,SUMIFS(Calcoli!$C$7:$C$21,Calcoli!$A$7:$A$21,C491),INDEX($S$5:$S$1004,P491)))</f>
        <v/>
      </c>
      <c r="R491" t="str">
        <f>IF(N491="","",IF(P491=0,SUMIFS(Calcoli!$D$7:$D$21,Calcoli!$A$7:$A$21,C491),INDEX($T$5:$T$1004,P491)))</f>
        <v/>
      </c>
      <c r="S491" t="str">
        <f>IF(N491="","",IF(B491="Acquisto",Q491+N(D491),MAX(0,Q491-N(D491))))</f>
        <v/>
      </c>
      <c r="T491" t="str">
        <f>IF(N491="","",IF(B491="Acquisto",R491+J491+N(G491),IF(Q491&lt;=0,0,R491*(1-MIN(1,N(D491)/Q491)))))</f>
        <v/>
      </c>
      <c r="U491" t="str">
        <f>IF(B491&lt;&gt;"Vendita","",J491-N(G491)-IF(Q491&lt;=0,0,R491*MIN(1,N(D491)/Q491)))</f>
        <v/>
      </c>
      <c r="V491" t="str">
        <f>IF(B491&lt;&gt;"Dividendo","",IF(Calcoli!$B$251=1,J491,L491))</f>
        <v/>
      </c>
      <c r="W491" t="str">
        <f>IF(AND(V491&lt;&gt;"",ISNUMBER(A491)),A491,"")</f>
        <v/>
      </c>
    </row>
    <row r="492">
      <c r="A492" s="134" t="n"/>
      <c r="B492" s="116" t="n"/>
      <c r="C492" s="116" t="n"/>
      <c r="D492" s="121" t="n"/>
      <c r="E492" s="120" t="n"/>
      <c r="F492" s="120" t="n"/>
      <c r="G492" s="120" t="n"/>
      <c r="H492" s="120" t="n"/>
      <c r="I492" s="117" t="n"/>
      <c r="J492" s="123" t="str">
        <f>IF(B492="","",IF(F492&lt;&gt;"",N(F492),ROUND(N(D492)*N(E492),2)))</f>
        <v/>
      </c>
      <c r="K492" s="123" t="str">
        <f>IF(B492="","",IF(H492&lt;&gt;"",N(H492),IF(B492="Dividendo",ROUND(J492*IFERROR(INDEX(Calcoli!$V$7:$V$21,MATCH(C492,Calcoli!$A$7:$A$21,0)),0.26),2),IF(B492="Vendita",ROUND(MAX(0,U492)*IFERROR(INDEX(Calcoli!$V$7:$V$21,MATCH(C492,Calcoli!$A$7:$A$21,0)),0.26),2),0))))</f>
        <v/>
      </c>
      <c r="L492" s="135" t="str">
        <f>IF(B492="","",IF(B492="Acquisto",-(J492+N(G492)),J492-N(G492)-K492))</f>
        <v/>
      </c>
      <c r="M492" s="127" t="str">
        <f>IF(B492="","",IF(ISNA(MATCH(C492,ETF!$A$7:$A$21,0)),"ETF?",IF(NOT(ISNUMBER(A492)),"Data?",IF(AND(B492&lt;&gt;"Dividendo",N(D492)&lt;=0),"Quote?",IF(AND(B492="Vendita",N(D492)&gt;N(Q492)+0.000001),"Quote?",IF(J492&lt;=0,"Importo?","✓"))))))</f>
        <v/>
      </c>
      <c r="N492" t="str">
        <f>IF(OR(B492="Acquisto",B492="Vendita"),COUNTIFS($C$5:C492,C492,$B$5:B492,"Acquisto")+COUNTIFS($C$5:C492,C492,$B$5:B492,"Vendita"),"")</f>
        <v/>
      </c>
      <c r="O492" t="str">
        <f>IF(N492="","",C492&amp;"|"&amp;N492)</f>
        <v/>
      </c>
      <c r="P492" t="str">
        <f>IF(N492="","",IF(N492=1,0,MATCH(C492&amp;"|"&amp;(N492-1),$O$5:$O$1004,0)))</f>
        <v/>
      </c>
      <c r="Q492" t="str">
        <f>IF(N492="","",IF(P492=0,SUMIFS(Calcoli!$C$7:$C$21,Calcoli!$A$7:$A$21,C492),INDEX($S$5:$S$1004,P492)))</f>
        <v/>
      </c>
      <c r="R492" t="str">
        <f>IF(N492="","",IF(P492=0,SUMIFS(Calcoli!$D$7:$D$21,Calcoli!$A$7:$A$21,C492),INDEX($T$5:$T$1004,P492)))</f>
        <v/>
      </c>
      <c r="S492" t="str">
        <f>IF(N492="","",IF(B492="Acquisto",Q492+N(D492),MAX(0,Q492-N(D492))))</f>
        <v/>
      </c>
      <c r="T492" t="str">
        <f>IF(N492="","",IF(B492="Acquisto",R492+J492+N(G492),IF(Q492&lt;=0,0,R492*(1-MIN(1,N(D492)/Q492)))))</f>
        <v/>
      </c>
      <c r="U492" t="str">
        <f>IF(B492&lt;&gt;"Vendita","",J492-N(G492)-IF(Q492&lt;=0,0,R492*MIN(1,N(D492)/Q492)))</f>
        <v/>
      </c>
      <c r="V492" t="str">
        <f>IF(B492&lt;&gt;"Dividendo","",IF(Calcoli!$B$251=1,J492,L492))</f>
        <v/>
      </c>
      <c r="W492" t="str">
        <f>IF(AND(V492&lt;&gt;"",ISNUMBER(A492)),A492,"")</f>
        <v/>
      </c>
    </row>
    <row r="493">
      <c r="A493" s="134" t="n"/>
      <c r="B493" s="116" t="n"/>
      <c r="C493" s="116" t="n"/>
      <c r="D493" s="121" t="n"/>
      <c r="E493" s="120" t="n"/>
      <c r="F493" s="120" t="n"/>
      <c r="G493" s="120" t="n"/>
      <c r="H493" s="120" t="n"/>
      <c r="I493" s="117" t="n"/>
      <c r="J493" s="123" t="str">
        <f>IF(B493="","",IF(F493&lt;&gt;"",N(F493),ROUND(N(D493)*N(E493),2)))</f>
        <v/>
      </c>
      <c r="K493" s="123" t="str">
        <f>IF(B493="","",IF(H493&lt;&gt;"",N(H493),IF(B493="Dividendo",ROUND(J493*IFERROR(INDEX(Calcoli!$V$7:$V$21,MATCH(C493,Calcoli!$A$7:$A$21,0)),0.26),2),IF(B493="Vendita",ROUND(MAX(0,U493)*IFERROR(INDEX(Calcoli!$V$7:$V$21,MATCH(C493,Calcoli!$A$7:$A$21,0)),0.26),2),0))))</f>
        <v/>
      </c>
      <c r="L493" s="135" t="str">
        <f>IF(B493="","",IF(B493="Acquisto",-(J493+N(G493)),J493-N(G493)-K493))</f>
        <v/>
      </c>
      <c r="M493" s="127" t="str">
        <f>IF(B493="","",IF(ISNA(MATCH(C493,ETF!$A$7:$A$21,0)),"ETF?",IF(NOT(ISNUMBER(A493)),"Data?",IF(AND(B493&lt;&gt;"Dividendo",N(D493)&lt;=0),"Quote?",IF(AND(B493="Vendita",N(D493)&gt;N(Q493)+0.000001),"Quote?",IF(J493&lt;=0,"Importo?","✓"))))))</f>
        <v/>
      </c>
      <c r="N493" t="str">
        <f>IF(OR(B493="Acquisto",B493="Vendita"),COUNTIFS($C$5:C493,C493,$B$5:B493,"Acquisto")+COUNTIFS($C$5:C493,C493,$B$5:B493,"Vendita"),"")</f>
        <v/>
      </c>
      <c r="O493" t="str">
        <f>IF(N493="","",C493&amp;"|"&amp;N493)</f>
        <v/>
      </c>
      <c r="P493" t="str">
        <f>IF(N493="","",IF(N493=1,0,MATCH(C493&amp;"|"&amp;(N493-1),$O$5:$O$1004,0)))</f>
        <v/>
      </c>
      <c r="Q493" t="str">
        <f>IF(N493="","",IF(P493=0,SUMIFS(Calcoli!$C$7:$C$21,Calcoli!$A$7:$A$21,C493),INDEX($S$5:$S$1004,P493)))</f>
        <v/>
      </c>
      <c r="R493" t="str">
        <f>IF(N493="","",IF(P493=0,SUMIFS(Calcoli!$D$7:$D$21,Calcoli!$A$7:$A$21,C493),INDEX($T$5:$T$1004,P493)))</f>
        <v/>
      </c>
      <c r="S493" t="str">
        <f>IF(N493="","",IF(B493="Acquisto",Q493+N(D493),MAX(0,Q493-N(D493))))</f>
        <v/>
      </c>
      <c r="T493" t="str">
        <f>IF(N493="","",IF(B493="Acquisto",R493+J493+N(G493),IF(Q493&lt;=0,0,R493*(1-MIN(1,N(D493)/Q493)))))</f>
        <v/>
      </c>
      <c r="U493" t="str">
        <f>IF(B493&lt;&gt;"Vendita","",J493-N(G493)-IF(Q493&lt;=0,0,R493*MIN(1,N(D493)/Q493)))</f>
        <v/>
      </c>
      <c r="V493" t="str">
        <f>IF(B493&lt;&gt;"Dividendo","",IF(Calcoli!$B$251=1,J493,L493))</f>
        <v/>
      </c>
      <c r="W493" t="str">
        <f>IF(AND(V493&lt;&gt;"",ISNUMBER(A493)),A493,"")</f>
        <v/>
      </c>
    </row>
    <row r="494">
      <c r="A494" s="134" t="n"/>
      <c r="B494" s="116" t="n"/>
      <c r="C494" s="116" t="n"/>
      <c r="D494" s="121" t="n"/>
      <c r="E494" s="120" t="n"/>
      <c r="F494" s="120" t="n"/>
      <c r="G494" s="120" t="n"/>
      <c r="H494" s="120" t="n"/>
      <c r="I494" s="117" t="n"/>
      <c r="J494" s="123" t="str">
        <f>IF(B494="","",IF(F494&lt;&gt;"",N(F494),ROUND(N(D494)*N(E494),2)))</f>
        <v/>
      </c>
      <c r="K494" s="123" t="str">
        <f>IF(B494="","",IF(H494&lt;&gt;"",N(H494),IF(B494="Dividendo",ROUND(J494*IFERROR(INDEX(Calcoli!$V$7:$V$21,MATCH(C494,Calcoli!$A$7:$A$21,0)),0.26),2),IF(B494="Vendita",ROUND(MAX(0,U494)*IFERROR(INDEX(Calcoli!$V$7:$V$21,MATCH(C494,Calcoli!$A$7:$A$21,0)),0.26),2),0))))</f>
        <v/>
      </c>
      <c r="L494" s="135" t="str">
        <f>IF(B494="","",IF(B494="Acquisto",-(J494+N(G494)),J494-N(G494)-K494))</f>
        <v/>
      </c>
      <c r="M494" s="127" t="str">
        <f>IF(B494="","",IF(ISNA(MATCH(C494,ETF!$A$7:$A$21,0)),"ETF?",IF(NOT(ISNUMBER(A494)),"Data?",IF(AND(B494&lt;&gt;"Dividendo",N(D494)&lt;=0),"Quote?",IF(AND(B494="Vendita",N(D494)&gt;N(Q494)+0.000001),"Quote?",IF(J494&lt;=0,"Importo?","✓"))))))</f>
        <v/>
      </c>
      <c r="N494" t="str">
        <f>IF(OR(B494="Acquisto",B494="Vendita"),COUNTIFS($C$5:C494,C494,$B$5:B494,"Acquisto")+COUNTIFS($C$5:C494,C494,$B$5:B494,"Vendita"),"")</f>
        <v/>
      </c>
      <c r="O494" t="str">
        <f>IF(N494="","",C494&amp;"|"&amp;N494)</f>
        <v/>
      </c>
      <c r="P494" t="str">
        <f>IF(N494="","",IF(N494=1,0,MATCH(C494&amp;"|"&amp;(N494-1),$O$5:$O$1004,0)))</f>
        <v/>
      </c>
      <c r="Q494" t="str">
        <f>IF(N494="","",IF(P494=0,SUMIFS(Calcoli!$C$7:$C$21,Calcoli!$A$7:$A$21,C494),INDEX($S$5:$S$1004,P494)))</f>
        <v/>
      </c>
      <c r="R494" t="str">
        <f>IF(N494="","",IF(P494=0,SUMIFS(Calcoli!$D$7:$D$21,Calcoli!$A$7:$A$21,C494),INDEX($T$5:$T$1004,P494)))</f>
        <v/>
      </c>
      <c r="S494" t="str">
        <f>IF(N494="","",IF(B494="Acquisto",Q494+N(D494),MAX(0,Q494-N(D494))))</f>
        <v/>
      </c>
      <c r="T494" t="str">
        <f>IF(N494="","",IF(B494="Acquisto",R494+J494+N(G494),IF(Q494&lt;=0,0,R494*(1-MIN(1,N(D494)/Q494)))))</f>
        <v/>
      </c>
      <c r="U494" t="str">
        <f>IF(B494&lt;&gt;"Vendita","",J494-N(G494)-IF(Q494&lt;=0,0,R494*MIN(1,N(D494)/Q494)))</f>
        <v/>
      </c>
      <c r="V494" t="str">
        <f>IF(B494&lt;&gt;"Dividendo","",IF(Calcoli!$B$251=1,J494,L494))</f>
        <v/>
      </c>
      <c r="W494" t="str">
        <f>IF(AND(V494&lt;&gt;"",ISNUMBER(A494)),A494,"")</f>
        <v/>
      </c>
    </row>
    <row r="495">
      <c r="A495" s="134" t="n"/>
      <c r="B495" s="116" t="n"/>
      <c r="C495" s="116" t="n"/>
      <c r="D495" s="121" t="n"/>
      <c r="E495" s="120" t="n"/>
      <c r="F495" s="120" t="n"/>
      <c r="G495" s="120" t="n"/>
      <c r="H495" s="120" t="n"/>
      <c r="I495" s="117" t="n"/>
      <c r="J495" s="123" t="str">
        <f>IF(B495="","",IF(F495&lt;&gt;"",N(F495),ROUND(N(D495)*N(E495),2)))</f>
        <v/>
      </c>
      <c r="K495" s="123" t="str">
        <f>IF(B495="","",IF(H495&lt;&gt;"",N(H495),IF(B495="Dividendo",ROUND(J495*IFERROR(INDEX(Calcoli!$V$7:$V$21,MATCH(C495,Calcoli!$A$7:$A$21,0)),0.26),2),IF(B495="Vendita",ROUND(MAX(0,U495)*IFERROR(INDEX(Calcoli!$V$7:$V$21,MATCH(C495,Calcoli!$A$7:$A$21,0)),0.26),2),0))))</f>
        <v/>
      </c>
      <c r="L495" s="135" t="str">
        <f>IF(B495="","",IF(B495="Acquisto",-(J495+N(G495)),J495-N(G495)-K495))</f>
        <v/>
      </c>
      <c r="M495" s="127" t="str">
        <f>IF(B495="","",IF(ISNA(MATCH(C495,ETF!$A$7:$A$21,0)),"ETF?",IF(NOT(ISNUMBER(A495)),"Data?",IF(AND(B495&lt;&gt;"Dividendo",N(D495)&lt;=0),"Quote?",IF(AND(B495="Vendita",N(D495)&gt;N(Q495)+0.000001),"Quote?",IF(J495&lt;=0,"Importo?","✓"))))))</f>
        <v/>
      </c>
      <c r="N495" t="str">
        <f>IF(OR(B495="Acquisto",B495="Vendita"),COUNTIFS($C$5:C495,C495,$B$5:B495,"Acquisto")+COUNTIFS($C$5:C495,C495,$B$5:B495,"Vendita"),"")</f>
        <v/>
      </c>
      <c r="O495" t="str">
        <f>IF(N495="","",C495&amp;"|"&amp;N495)</f>
        <v/>
      </c>
      <c r="P495" t="str">
        <f>IF(N495="","",IF(N495=1,0,MATCH(C495&amp;"|"&amp;(N495-1),$O$5:$O$1004,0)))</f>
        <v/>
      </c>
      <c r="Q495" t="str">
        <f>IF(N495="","",IF(P495=0,SUMIFS(Calcoli!$C$7:$C$21,Calcoli!$A$7:$A$21,C495),INDEX($S$5:$S$1004,P495)))</f>
        <v/>
      </c>
      <c r="R495" t="str">
        <f>IF(N495="","",IF(P495=0,SUMIFS(Calcoli!$D$7:$D$21,Calcoli!$A$7:$A$21,C495),INDEX($T$5:$T$1004,P495)))</f>
        <v/>
      </c>
      <c r="S495" t="str">
        <f>IF(N495="","",IF(B495="Acquisto",Q495+N(D495),MAX(0,Q495-N(D495))))</f>
        <v/>
      </c>
      <c r="T495" t="str">
        <f>IF(N495="","",IF(B495="Acquisto",R495+J495+N(G495),IF(Q495&lt;=0,0,R495*(1-MIN(1,N(D495)/Q495)))))</f>
        <v/>
      </c>
      <c r="U495" t="str">
        <f>IF(B495&lt;&gt;"Vendita","",J495-N(G495)-IF(Q495&lt;=0,0,R495*MIN(1,N(D495)/Q495)))</f>
        <v/>
      </c>
      <c r="V495" t="str">
        <f>IF(B495&lt;&gt;"Dividendo","",IF(Calcoli!$B$251=1,J495,L495))</f>
        <v/>
      </c>
      <c r="W495" t="str">
        <f>IF(AND(V495&lt;&gt;"",ISNUMBER(A495)),A495,"")</f>
        <v/>
      </c>
    </row>
    <row r="496">
      <c r="A496" s="134" t="n"/>
      <c r="B496" s="116" t="n"/>
      <c r="C496" s="116" t="n"/>
      <c r="D496" s="121" t="n"/>
      <c r="E496" s="120" t="n"/>
      <c r="F496" s="120" t="n"/>
      <c r="G496" s="120" t="n"/>
      <c r="H496" s="120" t="n"/>
      <c r="I496" s="117" t="n"/>
      <c r="J496" s="123" t="str">
        <f>IF(B496="","",IF(F496&lt;&gt;"",N(F496),ROUND(N(D496)*N(E496),2)))</f>
        <v/>
      </c>
      <c r="K496" s="123" t="str">
        <f>IF(B496="","",IF(H496&lt;&gt;"",N(H496),IF(B496="Dividendo",ROUND(J496*IFERROR(INDEX(Calcoli!$V$7:$V$21,MATCH(C496,Calcoli!$A$7:$A$21,0)),0.26),2),IF(B496="Vendita",ROUND(MAX(0,U496)*IFERROR(INDEX(Calcoli!$V$7:$V$21,MATCH(C496,Calcoli!$A$7:$A$21,0)),0.26),2),0))))</f>
        <v/>
      </c>
      <c r="L496" s="135" t="str">
        <f>IF(B496="","",IF(B496="Acquisto",-(J496+N(G496)),J496-N(G496)-K496))</f>
        <v/>
      </c>
      <c r="M496" s="127" t="str">
        <f>IF(B496="","",IF(ISNA(MATCH(C496,ETF!$A$7:$A$21,0)),"ETF?",IF(NOT(ISNUMBER(A496)),"Data?",IF(AND(B496&lt;&gt;"Dividendo",N(D496)&lt;=0),"Quote?",IF(AND(B496="Vendita",N(D496)&gt;N(Q496)+0.000001),"Quote?",IF(J496&lt;=0,"Importo?","✓"))))))</f>
        <v/>
      </c>
      <c r="N496" t="str">
        <f>IF(OR(B496="Acquisto",B496="Vendita"),COUNTIFS($C$5:C496,C496,$B$5:B496,"Acquisto")+COUNTIFS($C$5:C496,C496,$B$5:B496,"Vendita"),"")</f>
        <v/>
      </c>
      <c r="O496" t="str">
        <f>IF(N496="","",C496&amp;"|"&amp;N496)</f>
        <v/>
      </c>
      <c r="P496" t="str">
        <f>IF(N496="","",IF(N496=1,0,MATCH(C496&amp;"|"&amp;(N496-1),$O$5:$O$1004,0)))</f>
        <v/>
      </c>
      <c r="Q496" t="str">
        <f>IF(N496="","",IF(P496=0,SUMIFS(Calcoli!$C$7:$C$21,Calcoli!$A$7:$A$21,C496),INDEX($S$5:$S$1004,P496)))</f>
        <v/>
      </c>
      <c r="R496" t="str">
        <f>IF(N496="","",IF(P496=0,SUMIFS(Calcoli!$D$7:$D$21,Calcoli!$A$7:$A$21,C496),INDEX($T$5:$T$1004,P496)))</f>
        <v/>
      </c>
      <c r="S496" t="str">
        <f>IF(N496="","",IF(B496="Acquisto",Q496+N(D496),MAX(0,Q496-N(D496))))</f>
        <v/>
      </c>
      <c r="T496" t="str">
        <f>IF(N496="","",IF(B496="Acquisto",R496+J496+N(G496),IF(Q496&lt;=0,0,R496*(1-MIN(1,N(D496)/Q496)))))</f>
        <v/>
      </c>
      <c r="U496" t="str">
        <f>IF(B496&lt;&gt;"Vendita","",J496-N(G496)-IF(Q496&lt;=0,0,R496*MIN(1,N(D496)/Q496)))</f>
        <v/>
      </c>
      <c r="V496" t="str">
        <f>IF(B496&lt;&gt;"Dividendo","",IF(Calcoli!$B$251=1,J496,L496))</f>
        <v/>
      </c>
      <c r="W496" t="str">
        <f>IF(AND(V496&lt;&gt;"",ISNUMBER(A496)),A496,"")</f>
        <v/>
      </c>
    </row>
    <row r="497">
      <c r="A497" s="134" t="n"/>
      <c r="B497" s="116" t="n"/>
      <c r="C497" s="116" t="n"/>
      <c r="D497" s="121" t="n"/>
      <c r="E497" s="120" t="n"/>
      <c r="F497" s="120" t="n"/>
      <c r="G497" s="120" t="n"/>
      <c r="H497" s="120" t="n"/>
      <c r="I497" s="117" t="n"/>
      <c r="J497" s="123" t="str">
        <f>IF(B497="","",IF(F497&lt;&gt;"",N(F497),ROUND(N(D497)*N(E497),2)))</f>
        <v/>
      </c>
      <c r="K497" s="123" t="str">
        <f>IF(B497="","",IF(H497&lt;&gt;"",N(H497),IF(B497="Dividendo",ROUND(J497*IFERROR(INDEX(Calcoli!$V$7:$V$21,MATCH(C497,Calcoli!$A$7:$A$21,0)),0.26),2),IF(B497="Vendita",ROUND(MAX(0,U497)*IFERROR(INDEX(Calcoli!$V$7:$V$21,MATCH(C497,Calcoli!$A$7:$A$21,0)),0.26),2),0))))</f>
        <v/>
      </c>
      <c r="L497" s="135" t="str">
        <f>IF(B497="","",IF(B497="Acquisto",-(J497+N(G497)),J497-N(G497)-K497))</f>
        <v/>
      </c>
      <c r="M497" s="127" t="str">
        <f>IF(B497="","",IF(ISNA(MATCH(C497,ETF!$A$7:$A$21,0)),"ETF?",IF(NOT(ISNUMBER(A497)),"Data?",IF(AND(B497&lt;&gt;"Dividendo",N(D497)&lt;=0),"Quote?",IF(AND(B497="Vendita",N(D497)&gt;N(Q497)+0.000001),"Quote?",IF(J497&lt;=0,"Importo?","✓"))))))</f>
        <v/>
      </c>
      <c r="N497" t="str">
        <f>IF(OR(B497="Acquisto",B497="Vendita"),COUNTIFS($C$5:C497,C497,$B$5:B497,"Acquisto")+COUNTIFS($C$5:C497,C497,$B$5:B497,"Vendita"),"")</f>
        <v/>
      </c>
      <c r="O497" t="str">
        <f>IF(N497="","",C497&amp;"|"&amp;N497)</f>
        <v/>
      </c>
      <c r="P497" t="str">
        <f>IF(N497="","",IF(N497=1,0,MATCH(C497&amp;"|"&amp;(N497-1),$O$5:$O$1004,0)))</f>
        <v/>
      </c>
      <c r="Q497" t="str">
        <f>IF(N497="","",IF(P497=0,SUMIFS(Calcoli!$C$7:$C$21,Calcoli!$A$7:$A$21,C497),INDEX($S$5:$S$1004,P497)))</f>
        <v/>
      </c>
      <c r="R497" t="str">
        <f>IF(N497="","",IF(P497=0,SUMIFS(Calcoli!$D$7:$D$21,Calcoli!$A$7:$A$21,C497),INDEX($T$5:$T$1004,P497)))</f>
        <v/>
      </c>
      <c r="S497" t="str">
        <f>IF(N497="","",IF(B497="Acquisto",Q497+N(D497),MAX(0,Q497-N(D497))))</f>
        <v/>
      </c>
      <c r="T497" t="str">
        <f>IF(N497="","",IF(B497="Acquisto",R497+J497+N(G497),IF(Q497&lt;=0,0,R497*(1-MIN(1,N(D497)/Q497)))))</f>
        <v/>
      </c>
      <c r="U497" t="str">
        <f>IF(B497&lt;&gt;"Vendita","",J497-N(G497)-IF(Q497&lt;=0,0,R497*MIN(1,N(D497)/Q497)))</f>
        <v/>
      </c>
      <c r="V497" t="str">
        <f>IF(B497&lt;&gt;"Dividendo","",IF(Calcoli!$B$251=1,J497,L497))</f>
        <v/>
      </c>
      <c r="W497" t="str">
        <f>IF(AND(V497&lt;&gt;"",ISNUMBER(A497)),A497,"")</f>
        <v/>
      </c>
    </row>
    <row r="498">
      <c r="A498" s="134" t="n"/>
      <c r="B498" s="116" t="n"/>
      <c r="C498" s="116" t="n"/>
      <c r="D498" s="121" t="n"/>
      <c r="E498" s="120" t="n"/>
      <c r="F498" s="120" t="n"/>
      <c r="G498" s="120" t="n"/>
      <c r="H498" s="120" t="n"/>
      <c r="I498" s="117" t="n"/>
      <c r="J498" s="123" t="str">
        <f>IF(B498="","",IF(F498&lt;&gt;"",N(F498),ROUND(N(D498)*N(E498),2)))</f>
        <v/>
      </c>
      <c r="K498" s="123" t="str">
        <f>IF(B498="","",IF(H498&lt;&gt;"",N(H498),IF(B498="Dividendo",ROUND(J498*IFERROR(INDEX(Calcoli!$V$7:$V$21,MATCH(C498,Calcoli!$A$7:$A$21,0)),0.26),2),IF(B498="Vendita",ROUND(MAX(0,U498)*IFERROR(INDEX(Calcoli!$V$7:$V$21,MATCH(C498,Calcoli!$A$7:$A$21,0)),0.26),2),0))))</f>
        <v/>
      </c>
      <c r="L498" s="135" t="str">
        <f>IF(B498="","",IF(B498="Acquisto",-(J498+N(G498)),J498-N(G498)-K498))</f>
        <v/>
      </c>
      <c r="M498" s="127" t="str">
        <f>IF(B498="","",IF(ISNA(MATCH(C498,ETF!$A$7:$A$21,0)),"ETF?",IF(NOT(ISNUMBER(A498)),"Data?",IF(AND(B498&lt;&gt;"Dividendo",N(D498)&lt;=0),"Quote?",IF(AND(B498="Vendita",N(D498)&gt;N(Q498)+0.000001),"Quote?",IF(J498&lt;=0,"Importo?","✓"))))))</f>
        <v/>
      </c>
      <c r="N498" t="str">
        <f>IF(OR(B498="Acquisto",B498="Vendita"),COUNTIFS($C$5:C498,C498,$B$5:B498,"Acquisto")+COUNTIFS($C$5:C498,C498,$B$5:B498,"Vendita"),"")</f>
        <v/>
      </c>
      <c r="O498" t="str">
        <f>IF(N498="","",C498&amp;"|"&amp;N498)</f>
        <v/>
      </c>
      <c r="P498" t="str">
        <f>IF(N498="","",IF(N498=1,0,MATCH(C498&amp;"|"&amp;(N498-1),$O$5:$O$1004,0)))</f>
        <v/>
      </c>
      <c r="Q498" t="str">
        <f>IF(N498="","",IF(P498=0,SUMIFS(Calcoli!$C$7:$C$21,Calcoli!$A$7:$A$21,C498),INDEX($S$5:$S$1004,P498)))</f>
        <v/>
      </c>
      <c r="R498" t="str">
        <f>IF(N498="","",IF(P498=0,SUMIFS(Calcoli!$D$7:$D$21,Calcoli!$A$7:$A$21,C498),INDEX($T$5:$T$1004,P498)))</f>
        <v/>
      </c>
      <c r="S498" t="str">
        <f>IF(N498="","",IF(B498="Acquisto",Q498+N(D498),MAX(0,Q498-N(D498))))</f>
        <v/>
      </c>
      <c r="T498" t="str">
        <f>IF(N498="","",IF(B498="Acquisto",R498+J498+N(G498),IF(Q498&lt;=0,0,R498*(1-MIN(1,N(D498)/Q498)))))</f>
        <v/>
      </c>
      <c r="U498" t="str">
        <f>IF(B498&lt;&gt;"Vendita","",J498-N(G498)-IF(Q498&lt;=0,0,R498*MIN(1,N(D498)/Q498)))</f>
        <v/>
      </c>
      <c r="V498" t="str">
        <f>IF(B498&lt;&gt;"Dividendo","",IF(Calcoli!$B$251=1,J498,L498))</f>
        <v/>
      </c>
      <c r="W498" t="str">
        <f>IF(AND(V498&lt;&gt;"",ISNUMBER(A498)),A498,"")</f>
        <v/>
      </c>
    </row>
    <row r="499">
      <c r="A499" s="134" t="n"/>
      <c r="B499" s="116" t="n"/>
      <c r="C499" s="116" t="n"/>
      <c r="D499" s="121" t="n"/>
      <c r="E499" s="120" t="n"/>
      <c r="F499" s="120" t="n"/>
      <c r="G499" s="120" t="n"/>
      <c r="H499" s="120" t="n"/>
      <c r="I499" s="117" t="n"/>
      <c r="J499" s="123" t="str">
        <f>IF(B499="","",IF(F499&lt;&gt;"",N(F499),ROUND(N(D499)*N(E499),2)))</f>
        <v/>
      </c>
      <c r="K499" s="123" t="str">
        <f>IF(B499="","",IF(H499&lt;&gt;"",N(H499),IF(B499="Dividendo",ROUND(J499*IFERROR(INDEX(Calcoli!$V$7:$V$21,MATCH(C499,Calcoli!$A$7:$A$21,0)),0.26),2),IF(B499="Vendita",ROUND(MAX(0,U499)*IFERROR(INDEX(Calcoli!$V$7:$V$21,MATCH(C499,Calcoli!$A$7:$A$21,0)),0.26),2),0))))</f>
        <v/>
      </c>
      <c r="L499" s="135" t="str">
        <f>IF(B499="","",IF(B499="Acquisto",-(J499+N(G499)),J499-N(G499)-K499))</f>
        <v/>
      </c>
      <c r="M499" s="127" t="str">
        <f>IF(B499="","",IF(ISNA(MATCH(C499,ETF!$A$7:$A$21,0)),"ETF?",IF(NOT(ISNUMBER(A499)),"Data?",IF(AND(B499&lt;&gt;"Dividendo",N(D499)&lt;=0),"Quote?",IF(AND(B499="Vendita",N(D499)&gt;N(Q499)+0.000001),"Quote?",IF(J499&lt;=0,"Importo?","✓"))))))</f>
        <v/>
      </c>
      <c r="N499" t="str">
        <f>IF(OR(B499="Acquisto",B499="Vendita"),COUNTIFS($C$5:C499,C499,$B$5:B499,"Acquisto")+COUNTIFS($C$5:C499,C499,$B$5:B499,"Vendita"),"")</f>
        <v/>
      </c>
      <c r="O499" t="str">
        <f>IF(N499="","",C499&amp;"|"&amp;N499)</f>
        <v/>
      </c>
      <c r="P499" t="str">
        <f>IF(N499="","",IF(N499=1,0,MATCH(C499&amp;"|"&amp;(N499-1),$O$5:$O$1004,0)))</f>
        <v/>
      </c>
      <c r="Q499" t="str">
        <f>IF(N499="","",IF(P499=0,SUMIFS(Calcoli!$C$7:$C$21,Calcoli!$A$7:$A$21,C499),INDEX($S$5:$S$1004,P499)))</f>
        <v/>
      </c>
      <c r="R499" t="str">
        <f>IF(N499="","",IF(P499=0,SUMIFS(Calcoli!$D$7:$D$21,Calcoli!$A$7:$A$21,C499),INDEX($T$5:$T$1004,P499)))</f>
        <v/>
      </c>
      <c r="S499" t="str">
        <f>IF(N499="","",IF(B499="Acquisto",Q499+N(D499),MAX(0,Q499-N(D499))))</f>
        <v/>
      </c>
      <c r="T499" t="str">
        <f>IF(N499="","",IF(B499="Acquisto",R499+J499+N(G499),IF(Q499&lt;=0,0,R499*(1-MIN(1,N(D499)/Q499)))))</f>
        <v/>
      </c>
      <c r="U499" t="str">
        <f>IF(B499&lt;&gt;"Vendita","",J499-N(G499)-IF(Q499&lt;=0,0,R499*MIN(1,N(D499)/Q499)))</f>
        <v/>
      </c>
      <c r="V499" t="str">
        <f>IF(B499&lt;&gt;"Dividendo","",IF(Calcoli!$B$251=1,J499,L499))</f>
        <v/>
      </c>
      <c r="W499" t="str">
        <f>IF(AND(V499&lt;&gt;"",ISNUMBER(A499)),A499,"")</f>
        <v/>
      </c>
    </row>
    <row r="500">
      <c r="A500" s="134" t="n"/>
      <c r="B500" s="116" t="n"/>
      <c r="C500" s="116" t="n"/>
      <c r="D500" s="121" t="n"/>
      <c r="E500" s="120" t="n"/>
      <c r="F500" s="120" t="n"/>
      <c r="G500" s="120" t="n"/>
      <c r="H500" s="120" t="n"/>
      <c r="I500" s="117" t="n"/>
      <c r="J500" s="123" t="str">
        <f>IF(B500="","",IF(F500&lt;&gt;"",N(F500),ROUND(N(D500)*N(E500),2)))</f>
        <v/>
      </c>
      <c r="K500" s="123" t="str">
        <f>IF(B500="","",IF(H500&lt;&gt;"",N(H500),IF(B500="Dividendo",ROUND(J500*IFERROR(INDEX(Calcoli!$V$7:$V$21,MATCH(C500,Calcoli!$A$7:$A$21,0)),0.26),2),IF(B500="Vendita",ROUND(MAX(0,U500)*IFERROR(INDEX(Calcoli!$V$7:$V$21,MATCH(C500,Calcoli!$A$7:$A$21,0)),0.26),2),0))))</f>
        <v/>
      </c>
      <c r="L500" s="135" t="str">
        <f>IF(B500="","",IF(B500="Acquisto",-(J500+N(G500)),J500-N(G500)-K500))</f>
        <v/>
      </c>
      <c r="M500" s="127" t="str">
        <f>IF(B500="","",IF(ISNA(MATCH(C500,ETF!$A$7:$A$21,0)),"ETF?",IF(NOT(ISNUMBER(A500)),"Data?",IF(AND(B500&lt;&gt;"Dividendo",N(D500)&lt;=0),"Quote?",IF(AND(B500="Vendita",N(D500)&gt;N(Q500)+0.000001),"Quote?",IF(J500&lt;=0,"Importo?","✓"))))))</f>
        <v/>
      </c>
      <c r="N500" t="str">
        <f>IF(OR(B500="Acquisto",B500="Vendita"),COUNTIFS($C$5:C500,C500,$B$5:B500,"Acquisto")+COUNTIFS($C$5:C500,C500,$B$5:B500,"Vendita"),"")</f>
        <v/>
      </c>
      <c r="O500" t="str">
        <f>IF(N500="","",C500&amp;"|"&amp;N500)</f>
        <v/>
      </c>
      <c r="P500" t="str">
        <f>IF(N500="","",IF(N500=1,0,MATCH(C500&amp;"|"&amp;(N500-1),$O$5:$O$1004,0)))</f>
        <v/>
      </c>
      <c r="Q500" t="str">
        <f>IF(N500="","",IF(P500=0,SUMIFS(Calcoli!$C$7:$C$21,Calcoli!$A$7:$A$21,C500),INDEX($S$5:$S$1004,P500)))</f>
        <v/>
      </c>
      <c r="R500" t="str">
        <f>IF(N500="","",IF(P500=0,SUMIFS(Calcoli!$D$7:$D$21,Calcoli!$A$7:$A$21,C500),INDEX($T$5:$T$1004,P500)))</f>
        <v/>
      </c>
      <c r="S500" t="str">
        <f>IF(N500="","",IF(B500="Acquisto",Q500+N(D500),MAX(0,Q500-N(D500))))</f>
        <v/>
      </c>
      <c r="T500" t="str">
        <f>IF(N500="","",IF(B500="Acquisto",R500+J500+N(G500),IF(Q500&lt;=0,0,R500*(1-MIN(1,N(D500)/Q500)))))</f>
        <v/>
      </c>
      <c r="U500" t="str">
        <f>IF(B500&lt;&gt;"Vendita","",J500-N(G500)-IF(Q500&lt;=0,0,R500*MIN(1,N(D500)/Q500)))</f>
        <v/>
      </c>
      <c r="V500" t="str">
        <f>IF(B500&lt;&gt;"Dividendo","",IF(Calcoli!$B$251=1,J500,L500))</f>
        <v/>
      </c>
      <c r="W500" t="str">
        <f>IF(AND(V500&lt;&gt;"",ISNUMBER(A500)),A500,"")</f>
        <v/>
      </c>
    </row>
    <row r="501">
      <c r="A501" s="134" t="n"/>
      <c r="B501" s="116" t="n"/>
      <c r="C501" s="116" t="n"/>
      <c r="D501" s="121" t="n"/>
      <c r="E501" s="120" t="n"/>
      <c r="F501" s="120" t="n"/>
      <c r="G501" s="120" t="n"/>
      <c r="H501" s="120" t="n"/>
      <c r="I501" s="117" t="n"/>
      <c r="J501" s="123" t="str">
        <f>IF(B501="","",IF(F501&lt;&gt;"",N(F501),ROUND(N(D501)*N(E501),2)))</f>
        <v/>
      </c>
      <c r="K501" s="123" t="str">
        <f>IF(B501="","",IF(H501&lt;&gt;"",N(H501),IF(B501="Dividendo",ROUND(J501*IFERROR(INDEX(Calcoli!$V$7:$V$21,MATCH(C501,Calcoli!$A$7:$A$21,0)),0.26),2),IF(B501="Vendita",ROUND(MAX(0,U501)*IFERROR(INDEX(Calcoli!$V$7:$V$21,MATCH(C501,Calcoli!$A$7:$A$21,0)),0.26),2),0))))</f>
        <v/>
      </c>
      <c r="L501" s="135" t="str">
        <f>IF(B501="","",IF(B501="Acquisto",-(J501+N(G501)),J501-N(G501)-K501))</f>
        <v/>
      </c>
      <c r="M501" s="127" t="str">
        <f>IF(B501="","",IF(ISNA(MATCH(C501,ETF!$A$7:$A$21,0)),"ETF?",IF(NOT(ISNUMBER(A501)),"Data?",IF(AND(B501&lt;&gt;"Dividendo",N(D501)&lt;=0),"Quote?",IF(AND(B501="Vendita",N(D501)&gt;N(Q501)+0.000001),"Quote?",IF(J501&lt;=0,"Importo?","✓"))))))</f>
        <v/>
      </c>
      <c r="N501" t="str">
        <f>IF(OR(B501="Acquisto",B501="Vendita"),COUNTIFS($C$5:C501,C501,$B$5:B501,"Acquisto")+COUNTIFS($C$5:C501,C501,$B$5:B501,"Vendita"),"")</f>
        <v/>
      </c>
      <c r="O501" t="str">
        <f>IF(N501="","",C501&amp;"|"&amp;N501)</f>
        <v/>
      </c>
      <c r="P501" t="str">
        <f>IF(N501="","",IF(N501=1,0,MATCH(C501&amp;"|"&amp;(N501-1),$O$5:$O$1004,0)))</f>
        <v/>
      </c>
      <c r="Q501" t="str">
        <f>IF(N501="","",IF(P501=0,SUMIFS(Calcoli!$C$7:$C$21,Calcoli!$A$7:$A$21,C501),INDEX($S$5:$S$1004,P501)))</f>
        <v/>
      </c>
      <c r="R501" t="str">
        <f>IF(N501="","",IF(P501=0,SUMIFS(Calcoli!$D$7:$D$21,Calcoli!$A$7:$A$21,C501),INDEX($T$5:$T$1004,P501)))</f>
        <v/>
      </c>
      <c r="S501" t="str">
        <f>IF(N501="","",IF(B501="Acquisto",Q501+N(D501),MAX(0,Q501-N(D501))))</f>
        <v/>
      </c>
      <c r="T501" t="str">
        <f>IF(N501="","",IF(B501="Acquisto",R501+J501+N(G501),IF(Q501&lt;=0,0,R501*(1-MIN(1,N(D501)/Q501)))))</f>
        <v/>
      </c>
      <c r="U501" t="str">
        <f>IF(B501&lt;&gt;"Vendita","",J501-N(G501)-IF(Q501&lt;=0,0,R501*MIN(1,N(D501)/Q501)))</f>
        <v/>
      </c>
      <c r="V501" t="str">
        <f>IF(B501&lt;&gt;"Dividendo","",IF(Calcoli!$B$251=1,J501,L501))</f>
        <v/>
      </c>
      <c r="W501" t="str">
        <f>IF(AND(V501&lt;&gt;"",ISNUMBER(A501)),A501,"")</f>
        <v/>
      </c>
    </row>
    <row r="502">
      <c r="A502" s="134" t="n"/>
      <c r="B502" s="116" t="n"/>
      <c r="C502" s="116" t="n"/>
      <c r="D502" s="121" t="n"/>
      <c r="E502" s="120" t="n"/>
      <c r="F502" s="120" t="n"/>
      <c r="G502" s="120" t="n"/>
      <c r="H502" s="120" t="n"/>
      <c r="I502" s="117" t="n"/>
      <c r="J502" s="123" t="str">
        <f>IF(B502="","",IF(F502&lt;&gt;"",N(F502),ROUND(N(D502)*N(E502),2)))</f>
        <v/>
      </c>
      <c r="K502" s="123" t="str">
        <f>IF(B502="","",IF(H502&lt;&gt;"",N(H502),IF(B502="Dividendo",ROUND(J502*IFERROR(INDEX(Calcoli!$V$7:$V$21,MATCH(C502,Calcoli!$A$7:$A$21,0)),0.26),2),IF(B502="Vendita",ROUND(MAX(0,U502)*IFERROR(INDEX(Calcoli!$V$7:$V$21,MATCH(C502,Calcoli!$A$7:$A$21,0)),0.26),2),0))))</f>
        <v/>
      </c>
      <c r="L502" s="135" t="str">
        <f>IF(B502="","",IF(B502="Acquisto",-(J502+N(G502)),J502-N(G502)-K502))</f>
        <v/>
      </c>
      <c r="M502" s="127" t="str">
        <f>IF(B502="","",IF(ISNA(MATCH(C502,ETF!$A$7:$A$21,0)),"ETF?",IF(NOT(ISNUMBER(A502)),"Data?",IF(AND(B502&lt;&gt;"Dividendo",N(D502)&lt;=0),"Quote?",IF(AND(B502="Vendita",N(D502)&gt;N(Q502)+0.000001),"Quote?",IF(J502&lt;=0,"Importo?","✓"))))))</f>
        <v/>
      </c>
      <c r="N502" t="str">
        <f>IF(OR(B502="Acquisto",B502="Vendita"),COUNTIFS($C$5:C502,C502,$B$5:B502,"Acquisto")+COUNTIFS($C$5:C502,C502,$B$5:B502,"Vendita"),"")</f>
        <v/>
      </c>
      <c r="O502" t="str">
        <f>IF(N502="","",C502&amp;"|"&amp;N502)</f>
        <v/>
      </c>
      <c r="P502" t="str">
        <f>IF(N502="","",IF(N502=1,0,MATCH(C502&amp;"|"&amp;(N502-1),$O$5:$O$1004,0)))</f>
        <v/>
      </c>
      <c r="Q502" t="str">
        <f>IF(N502="","",IF(P502=0,SUMIFS(Calcoli!$C$7:$C$21,Calcoli!$A$7:$A$21,C502),INDEX($S$5:$S$1004,P502)))</f>
        <v/>
      </c>
      <c r="R502" t="str">
        <f>IF(N502="","",IF(P502=0,SUMIFS(Calcoli!$D$7:$D$21,Calcoli!$A$7:$A$21,C502),INDEX($T$5:$T$1004,P502)))</f>
        <v/>
      </c>
      <c r="S502" t="str">
        <f>IF(N502="","",IF(B502="Acquisto",Q502+N(D502),MAX(0,Q502-N(D502))))</f>
        <v/>
      </c>
      <c r="T502" t="str">
        <f>IF(N502="","",IF(B502="Acquisto",R502+J502+N(G502),IF(Q502&lt;=0,0,R502*(1-MIN(1,N(D502)/Q502)))))</f>
        <v/>
      </c>
      <c r="U502" t="str">
        <f>IF(B502&lt;&gt;"Vendita","",J502-N(G502)-IF(Q502&lt;=0,0,R502*MIN(1,N(D502)/Q502)))</f>
        <v/>
      </c>
      <c r="V502" t="str">
        <f>IF(B502&lt;&gt;"Dividendo","",IF(Calcoli!$B$251=1,J502,L502))</f>
        <v/>
      </c>
      <c r="W502" t="str">
        <f>IF(AND(V502&lt;&gt;"",ISNUMBER(A502)),A502,"")</f>
        <v/>
      </c>
    </row>
    <row r="503">
      <c r="A503" s="134" t="n"/>
      <c r="B503" s="116" t="n"/>
      <c r="C503" s="116" t="n"/>
      <c r="D503" s="121" t="n"/>
      <c r="E503" s="120" t="n"/>
      <c r="F503" s="120" t="n"/>
      <c r="G503" s="120" t="n"/>
      <c r="H503" s="120" t="n"/>
      <c r="I503" s="117" t="n"/>
      <c r="J503" s="123" t="str">
        <f>IF(B503="","",IF(F503&lt;&gt;"",N(F503),ROUND(N(D503)*N(E503),2)))</f>
        <v/>
      </c>
      <c r="K503" s="123" t="str">
        <f>IF(B503="","",IF(H503&lt;&gt;"",N(H503),IF(B503="Dividendo",ROUND(J503*IFERROR(INDEX(Calcoli!$V$7:$V$21,MATCH(C503,Calcoli!$A$7:$A$21,0)),0.26),2),IF(B503="Vendita",ROUND(MAX(0,U503)*IFERROR(INDEX(Calcoli!$V$7:$V$21,MATCH(C503,Calcoli!$A$7:$A$21,0)),0.26),2),0))))</f>
        <v/>
      </c>
      <c r="L503" s="135" t="str">
        <f>IF(B503="","",IF(B503="Acquisto",-(J503+N(G503)),J503-N(G503)-K503))</f>
        <v/>
      </c>
      <c r="M503" s="127" t="str">
        <f>IF(B503="","",IF(ISNA(MATCH(C503,ETF!$A$7:$A$21,0)),"ETF?",IF(NOT(ISNUMBER(A503)),"Data?",IF(AND(B503&lt;&gt;"Dividendo",N(D503)&lt;=0),"Quote?",IF(AND(B503="Vendita",N(D503)&gt;N(Q503)+0.000001),"Quote?",IF(J503&lt;=0,"Importo?","✓"))))))</f>
        <v/>
      </c>
      <c r="N503" t="str">
        <f>IF(OR(B503="Acquisto",B503="Vendita"),COUNTIFS($C$5:C503,C503,$B$5:B503,"Acquisto")+COUNTIFS($C$5:C503,C503,$B$5:B503,"Vendita"),"")</f>
        <v/>
      </c>
      <c r="O503" t="str">
        <f>IF(N503="","",C503&amp;"|"&amp;N503)</f>
        <v/>
      </c>
      <c r="P503" t="str">
        <f>IF(N503="","",IF(N503=1,0,MATCH(C503&amp;"|"&amp;(N503-1),$O$5:$O$1004,0)))</f>
        <v/>
      </c>
      <c r="Q503" t="str">
        <f>IF(N503="","",IF(P503=0,SUMIFS(Calcoli!$C$7:$C$21,Calcoli!$A$7:$A$21,C503),INDEX($S$5:$S$1004,P503)))</f>
        <v/>
      </c>
      <c r="R503" t="str">
        <f>IF(N503="","",IF(P503=0,SUMIFS(Calcoli!$D$7:$D$21,Calcoli!$A$7:$A$21,C503),INDEX($T$5:$T$1004,P503)))</f>
        <v/>
      </c>
      <c r="S503" t="str">
        <f>IF(N503="","",IF(B503="Acquisto",Q503+N(D503),MAX(0,Q503-N(D503))))</f>
        <v/>
      </c>
      <c r="T503" t="str">
        <f>IF(N503="","",IF(B503="Acquisto",R503+J503+N(G503),IF(Q503&lt;=0,0,R503*(1-MIN(1,N(D503)/Q503)))))</f>
        <v/>
      </c>
      <c r="U503" t="str">
        <f>IF(B503&lt;&gt;"Vendita","",J503-N(G503)-IF(Q503&lt;=0,0,R503*MIN(1,N(D503)/Q503)))</f>
        <v/>
      </c>
      <c r="V503" t="str">
        <f>IF(B503&lt;&gt;"Dividendo","",IF(Calcoli!$B$251=1,J503,L503))</f>
        <v/>
      </c>
      <c r="W503" t="str">
        <f>IF(AND(V503&lt;&gt;"",ISNUMBER(A503)),A503,"")</f>
        <v/>
      </c>
    </row>
    <row r="504">
      <c r="A504" s="134" t="n"/>
      <c r="B504" s="116" t="n"/>
      <c r="C504" s="116" t="n"/>
      <c r="D504" s="121" t="n"/>
      <c r="E504" s="120" t="n"/>
      <c r="F504" s="120" t="n"/>
      <c r="G504" s="120" t="n"/>
      <c r="H504" s="120" t="n"/>
      <c r="I504" s="117" t="n"/>
      <c r="J504" s="123" t="str">
        <f>IF(B504="","",IF(F504&lt;&gt;"",N(F504),ROUND(N(D504)*N(E504),2)))</f>
        <v/>
      </c>
      <c r="K504" s="123" t="str">
        <f>IF(B504="","",IF(H504&lt;&gt;"",N(H504),IF(B504="Dividendo",ROUND(J504*IFERROR(INDEX(Calcoli!$V$7:$V$21,MATCH(C504,Calcoli!$A$7:$A$21,0)),0.26),2),IF(B504="Vendita",ROUND(MAX(0,U504)*IFERROR(INDEX(Calcoli!$V$7:$V$21,MATCH(C504,Calcoli!$A$7:$A$21,0)),0.26),2),0))))</f>
        <v/>
      </c>
      <c r="L504" s="135" t="str">
        <f>IF(B504="","",IF(B504="Acquisto",-(J504+N(G504)),J504-N(G504)-K504))</f>
        <v/>
      </c>
      <c r="M504" s="127" t="str">
        <f>IF(B504="","",IF(ISNA(MATCH(C504,ETF!$A$7:$A$21,0)),"ETF?",IF(NOT(ISNUMBER(A504)),"Data?",IF(AND(B504&lt;&gt;"Dividendo",N(D504)&lt;=0),"Quote?",IF(AND(B504="Vendita",N(D504)&gt;N(Q504)+0.000001),"Quote?",IF(J504&lt;=0,"Importo?","✓"))))))</f>
        <v/>
      </c>
      <c r="N504" t="str">
        <f>IF(OR(B504="Acquisto",B504="Vendita"),COUNTIFS($C$5:C504,C504,$B$5:B504,"Acquisto")+COUNTIFS($C$5:C504,C504,$B$5:B504,"Vendita"),"")</f>
        <v/>
      </c>
      <c r="O504" t="str">
        <f>IF(N504="","",C504&amp;"|"&amp;N504)</f>
        <v/>
      </c>
      <c r="P504" t="str">
        <f>IF(N504="","",IF(N504=1,0,MATCH(C504&amp;"|"&amp;(N504-1),$O$5:$O$1004,0)))</f>
        <v/>
      </c>
      <c r="Q504" t="str">
        <f>IF(N504="","",IF(P504=0,SUMIFS(Calcoli!$C$7:$C$21,Calcoli!$A$7:$A$21,C504),INDEX($S$5:$S$1004,P504)))</f>
        <v/>
      </c>
      <c r="R504" t="str">
        <f>IF(N504="","",IF(P504=0,SUMIFS(Calcoli!$D$7:$D$21,Calcoli!$A$7:$A$21,C504),INDEX($T$5:$T$1004,P504)))</f>
        <v/>
      </c>
      <c r="S504" t="str">
        <f>IF(N504="","",IF(B504="Acquisto",Q504+N(D504),MAX(0,Q504-N(D504))))</f>
        <v/>
      </c>
      <c r="T504" t="str">
        <f>IF(N504="","",IF(B504="Acquisto",R504+J504+N(G504),IF(Q504&lt;=0,0,R504*(1-MIN(1,N(D504)/Q504)))))</f>
        <v/>
      </c>
      <c r="U504" t="str">
        <f>IF(B504&lt;&gt;"Vendita","",J504-N(G504)-IF(Q504&lt;=0,0,R504*MIN(1,N(D504)/Q504)))</f>
        <v/>
      </c>
      <c r="V504" t="str">
        <f>IF(B504&lt;&gt;"Dividendo","",IF(Calcoli!$B$251=1,J504,L504))</f>
        <v/>
      </c>
      <c r="W504" t="str">
        <f>IF(AND(V504&lt;&gt;"",ISNUMBER(A504)),A504,"")</f>
        <v/>
      </c>
    </row>
    <row r="505">
      <c r="A505" s="134" t="n"/>
      <c r="B505" s="116" t="n"/>
      <c r="C505" s="116" t="n"/>
      <c r="D505" s="121" t="n"/>
      <c r="E505" s="120" t="n"/>
      <c r="F505" s="120" t="n"/>
      <c r="G505" s="120" t="n"/>
      <c r="H505" s="120" t="n"/>
      <c r="I505" s="117" t="n"/>
      <c r="J505" s="123" t="str">
        <f>IF(B505="","",IF(F505&lt;&gt;"",N(F505),ROUND(N(D505)*N(E505),2)))</f>
        <v/>
      </c>
      <c r="K505" s="123" t="str">
        <f>IF(B505="","",IF(H505&lt;&gt;"",N(H505),IF(B505="Dividendo",ROUND(J505*IFERROR(INDEX(Calcoli!$V$7:$V$21,MATCH(C505,Calcoli!$A$7:$A$21,0)),0.26),2),IF(B505="Vendita",ROUND(MAX(0,U505)*IFERROR(INDEX(Calcoli!$V$7:$V$21,MATCH(C505,Calcoli!$A$7:$A$21,0)),0.26),2),0))))</f>
        <v/>
      </c>
      <c r="L505" s="135" t="str">
        <f>IF(B505="","",IF(B505="Acquisto",-(J505+N(G505)),J505-N(G505)-K505))</f>
        <v/>
      </c>
      <c r="M505" s="127" t="str">
        <f>IF(B505="","",IF(ISNA(MATCH(C505,ETF!$A$7:$A$21,0)),"ETF?",IF(NOT(ISNUMBER(A505)),"Data?",IF(AND(B505&lt;&gt;"Dividendo",N(D505)&lt;=0),"Quote?",IF(AND(B505="Vendita",N(D505)&gt;N(Q505)+0.000001),"Quote?",IF(J505&lt;=0,"Importo?","✓"))))))</f>
        <v/>
      </c>
      <c r="N505" t="str">
        <f>IF(OR(B505="Acquisto",B505="Vendita"),COUNTIFS($C$5:C505,C505,$B$5:B505,"Acquisto")+COUNTIFS($C$5:C505,C505,$B$5:B505,"Vendita"),"")</f>
        <v/>
      </c>
      <c r="O505" t="str">
        <f>IF(N505="","",C505&amp;"|"&amp;N505)</f>
        <v/>
      </c>
      <c r="P505" t="str">
        <f>IF(N505="","",IF(N505=1,0,MATCH(C505&amp;"|"&amp;(N505-1),$O$5:$O$1004,0)))</f>
        <v/>
      </c>
      <c r="Q505" t="str">
        <f>IF(N505="","",IF(P505=0,SUMIFS(Calcoli!$C$7:$C$21,Calcoli!$A$7:$A$21,C505),INDEX($S$5:$S$1004,P505)))</f>
        <v/>
      </c>
      <c r="R505" t="str">
        <f>IF(N505="","",IF(P505=0,SUMIFS(Calcoli!$D$7:$D$21,Calcoli!$A$7:$A$21,C505),INDEX($T$5:$T$1004,P505)))</f>
        <v/>
      </c>
      <c r="S505" t="str">
        <f>IF(N505="","",IF(B505="Acquisto",Q505+N(D505),MAX(0,Q505-N(D505))))</f>
        <v/>
      </c>
      <c r="T505" t="str">
        <f>IF(N505="","",IF(B505="Acquisto",R505+J505+N(G505),IF(Q505&lt;=0,0,R505*(1-MIN(1,N(D505)/Q505)))))</f>
        <v/>
      </c>
      <c r="U505" t="str">
        <f>IF(B505&lt;&gt;"Vendita","",J505-N(G505)-IF(Q505&lt;=0,0,R505*MIN(1,N(D505)/Q505)))</f>
        <v/>
      </c>
      <c r="V505" t="str">
        <f>IF(B505&lt;&gt;"Dividendo","",IF(Calcoli!$B$251=1,J505,L505))</f>
        <v/>
      </c>
      <c r="W505" t="str">
        <f>IF(AND(V505&lt;&gt;"",ISNUMBER(A505)),A505,"")</f>
        <v/>
      </c>
    </row>
    <row r="506">
      <c r="A506" s="134" t="n"/>
      <c r="B506" s="116" t="n"/>
      <c r="C506" s="116" t="n"/>
      <c r="D506" s="121" t="n"/>
      <c r="E506" s="120" t="n"/>
      <c r="F506" s="120" t="n"/>
      <c r="G506" s="120" t="n"/>
      <c r="H506" s="120" t="n"/>
      <c r="I506" s="117" t="n"/>
      <c r="J506" s="123" t="str">
        <f>IF(B506="","",IF(F506&lt;&gt;"",N(F506),ROUND(N(D506)*N(E506),2)))</f>
        <v/>
      </c>
      <c r="K506" s="123" t="str">
        <f>IF(B506="","",IF(H506&lt;&gt;"",N(H506),IF(B506="Dividendo",ROUND(J506*IFERROR(INDEX(Calcoli!$V$7:$V$21,MATCH(C506,Calcoli!$A$7:$A$21,0)),0.26),2),IF(B506="Vendita",ROUND(MAX(0,U506)*IFERROR(INDEX(Calcoli!$V$7:$V$21,MATCH(C506,Calcoli!$A$7:$A$21,0)),0.26),2),0))))</f>
        <v/>
      </c>
      <c r="L506" s="135" t="str">
        <f>IF(B506="","",IF(B506="Acquisto",-(J506+N(G506)),J506-N(G506)-K506))</f>
        <v/>
      </c>
      <c r="M506" s="127" t="str">
        <f>IF(B506="","",IF(ISNA(MATCH(C506,ETF!$A$7:$A$21,0)),"ETF?",IF(NOT(ISNUMBER(A506)),"Data?",IF(AND(B506&lt;&gt;"Dividendo",N(D506)&lt;=0),"Quote?",IF(AND(B506="Vendita",N(D506)&gt;N(Q506)+0.000001),"Quote?",IF(J506&lt;=0,"Importo?","✓"))))))</f>
        <v/>
      </c>
      <c r="N506" t="str">
        <f>IF(OR(B506="Acquisto",B506="Vendita"),COUNTIFS($C$5:C506,C506,$B$5:B506,"Acquisto")+COUNTIFS($C$5:C506,C506,$B$5:B506,"Vendita"),"")</f>
        <v/>
      </c>
      <c r="O506" t="str">
        <f>IF(N506="","",C506&amp;"|"&amp;N506)</f>
        <v/>
      </c>
      <c r="P506" t="str">
        <f>IF(N506="","",IF(N506=1,0,MATCH(C506&amp;"|"&amp;(N506-1),$O$5:$O$1004,0)))</f>
        <v/>
      </c>
      <c r="Q506" t="str">
        <f>IF(N506="","",IF(P506=0,SUMIFS(Calcoli!$C$7:$C$21,Calcoli!$A$7:$A$21,C506),INDEX($S$5:$S$1004,P506)))</f>
        <v/>
      </c>
      <c r="R506" t="str">
        <f>IF(N506="","",IF(P506=0,SUMIFS(Calcoli!$D$7:$D$21,Calcoli!$A$7:$A$21,C506),INDEX($T$5:$T$1004,P506)))</f>
        <v/>
      </c>
      <c r="S506" t="str">
        <f>IF(N506="","",IF(B506="Acquisto",Q506+N(D506),MAX(0,Q506-N(D506))))</f>
        <v/>
      </c>
      <c r="T506" t="str">
        <f>IF(N506="","",IF(B506="Acquisto",R506+J506+N(G506),IF(Q506&lt;=0,0,R506*(1-MIN(1,N(D506)/Q506)))))</f>
        <v/>
      </c>
      <c r="U506" t="str">
        <f>IF(B506&lt;&gt;"Vendita","",J506-N(G506)-IF(Q506&lt;=0,0,R506*MIN(1,N(D506)/Q506)))</f>
        <v/>
      </c>
      <c r="V506" t="str">
        <f>IF(B506&lt;&gt;"Dividendo","",IF(Calcoli!$B$251=1,J506,L506))</f>
        <v/>
      </c>
      <c r="W506" t="str">
        <f>IF(AND(V506&lt;&gt;"",ISNUMBER(A506)),A506,"")</f>
        <v/>
      </c>
    </row>
    <row r="507">
      <c r="A507" s="134" t="n"/>
      <c r="B507" s="116" t="n"/>
      <c r="C507" s="116" t="n"/>
      <c r="D507" s="121" t="n"/>
      <c r="E507" s="120" t="n"/>
      <c r="F507" s="120" t="n"/>
      <c r="G507" s="120" t="n"/>
      <c r="H507" s="120" t="n"/>
      <c r="I507" s="117" t="n"/>
      <c r="J507" s="123" t="str">
        <f>IF(B507="","",IF(F507&lt;&gt;"",N(F507),ROUND(N(D507)*N(E507),2)))</f>
        <v/>
      </c>
      <c r="K507" s="123" t="str">
        <f>IF(B507="","",IF(H507&lt;&gt;"",N(H507),IF(B507="Dividendo",ROUND(J507*IFERROR(INDEX(Calcoli!$V$7:$V$21,MATCH(C507,Calcoli!$A$7:$A$21,0)),0.26),2),IF(B507="Vendita",ROUND(MAX(0,U507)*IFERROR(INDEX(Calcoli!$V$7:$V$21,MATCH(C507,Calcoli!$A$7:$A$21,0)),0.26),2),0))))</f>
        <v/>
      </c>
      <c r="L507" s="135" t="str">
        <f>IF(B507="","",IF(B507="Acquisto",-(J507+N(G507)),J507-N(G507)-K507))</f>
        <v/>
      </c>
      <c r="M507" s="127" t="str">
        <f>IF(B507="","",IF(ISNA(MATCH(C507,ETF!$A$7:$A$21,0)),"ETF?",IF(NOT(ISNUMBER(A507)),"Data?",IF(AND(B507&lt;&gt;"Dividendo",N(D507)&lt;=0),"Quote?",IF(AND(B507="Vendita",N(D507)&gt;N(Q507)+0.000001),"Quote?",IF(J507&lt;=0,"Importo?","✓"))))))</f>
        <v/>
      </c>
      <c r="N507" t="str">
        <f>IF(OR(B507="Acquisto",B507="Vendita"),COUNTIFS($C$5:C507,C507,$B$5:B507,"Acquisto")+COUNTIFS($C$5:C507,C507,$B$5:B507,"Vendita"),"")</f>
        <v/>
      </c>
      <c r="O507" t="str">
        <f>IF(N507="","",C507&amp;"|"&amp;N507)</f>
        <v/>
      </c>
      <c r="P507" t="str">
        <f>IF(N507="","",IF(N507=1,0,MATCH(C507&amp;"|"&amp;(N507-1),$O$5:$O$1004,0)))</f>
        <v/>
      </c>
      <c r="Q507" t="str">
        <f>IF(N507="","",IF(P507=0,SUMIFS(Calcoli!$C$7:$C$21,Calcoli!$A$7:$A$21,C507),INDEX($S$5:$S$1004,P507)))</f>
        <v/>
      </c>
      <c r="R507" t="str">
        <f>IF(N507="","",IF(P507=0,SUMIFS(Calcoli!$D$7:$D$21,Calcoli!$A$7:$A$21,C507),INDEX($T$5:$T$1004,P507)))</f>
        <v/>
      </c>
      <c r="S507" t="str">
        <f>IF(N507="","",IF(B507="Acquisto",Q507+N(D507),MAX(0,Q507-N(D507))))</f>
        <v/>
      </c>
      <c r="T507" t="str">
        <f>IF(N507="","",IF(B507="Acquisto",R507+J507+N(G507),IF(Q507&lt;=0,0,R507*(1-MIN(1,N(D507)/Q507)))))</f>
        <v/>
      </c>
      <c r="U507" t="str">
        <f>IF(B507&lt;&gt;"Vendita","",J507-N(G507)-IF(Q507&lt;=0,0,R507*MIN(1,N(D507)/Q507)))</f>
        <v/>
      </c>
      <c r="V507" t="str">
        <f>IF(B507&lt;&gt;"Dividendo","",IF(Calcoli!$B$251=1,J507,L507))</f>
        <v/>
      </c>
      <c r="W507" t="str">
        <f>IF(AND(V507&lt;&gt;"",ISNUMBER(A507)),A507,"")</f>
        <v/>
      </c>
    </row>
    <row r="508">
      <c r="A508" s="134" t="n"/>
      <c r="B508" s="116" t="n"/>
      <c r="C508" s="116" t="n"/>
      <c r="D508" s="121" t="n"/>
      <c r="E508" s="120" t="n"/>
      <c r="F508" s="120" t="n"/>
      <c r="G508" s="120" t="n"/>
      <c r="H508" s="120" t="n"/>
      <c r="I508" s="117" t="n"/>
      <c r="J508" s="123" t="str">
        <f>IF(B508="","",IF(F508&lt;&gt;"",N(F508),ROUND(N(D508)*N(E508),2)))</f>
        <v/>
      </c>
      <c r="K508" s="123" t="str">
        <f>IF(B508="","",IF(H508&lt;&gt;"",N(H508),IF(B508="Dividendo",ROUND(J508*IFERROR(INDEX(Calcoli!$V$7:$V$21,MATCH(C508,Calcoli!$A$7:$A$21,0)),0.26),2),IF(B508="Vendita",ROUND(MAX(0,U508)*IFERROR(INDEX(Calcoli!$V$7:$V$21,MATCH(C508,Calcoli!$A$7:$A$21,0)),0.26),2),0))))</f>
        <v/>
      </c>
      <c r="L508" s="135" t="str">
        <f>IF(B508="","",IF(B508="Acquisto",-(J508+N(G508)),J508-N(G508)-K508))</f>
        <v/>
      </c>
      <c r="M508" s="127" t="str">
        <f>IF(B508="","",IF(ISNA(MATCH(C508,ETF!$A$7:$A$21,0)),"ETF?",IF(NOT(ISNUMBER(A508)),"Data?",IF(AND(B508&lt;&gt;"Dividendo",N(D508)&lt;=0),"Quote?",IF(AND(B508="Vendita",N(D508)&gt;N(Q508)+0.000001),"Quote?",IF(J508&lt;=0,"Importo?","✓"))))))</f>
        <v/>
      </c>
      <c r="N508" t="str">
        <f>IF(OR(B508="Acquisto",B508="Vendita"),COUNTIFS($C$5:C508,C508,$B$5:B508,"Acquisto")+COUNTIFS($C$5:C508,C508,$B$5:B508,"Vendita"),"")</f>
        <v/>
      </c>
      <c r="O508" t="str">
        <f>IF(N508="","",C508&amp;"|"&amp;N508)</f>
        <v/>
      </c>
      <c r="P508" t="str">
        <f>IF(N508="","",IF(N508=1,0,MATCH(C508&amp;"|"&amp;(N508-1),$O$5:$O$1004,0)))</f>
        <v/>
      </c>
      <c r="Q508" t="str">
        <f>IF(N508="","",IF(P508=0,SUMIFS(Calcoli!$C$7:$C$21,Calcoli!$A$7:$A$21,C508),INDEX($S$5:$S$1004,P508)))</f>
        <v/>
      </c>
      <c r="R508" t="str">
        <f>IF(N508="","",IF(P508=0,SUMIFS(Calcoli!$D$7:$D$21,Calcoli!$A$7:$A$21,C508),INDEX($T$5:$T$1004,P508)))</f>
        <v/>
      </c>
      <c r="S508" t="str">
        <f>IF(N508="","",IF(B508="Acquisto",Q508+N(D508),MAX(0,Q508-N(D508))))</f>
        <v/>
      </c>
      <c r="T508" t="str">
        <f>IF(N508="","",IF(B508="Acquisto",R508+J508+N(G508),IF(Q508&lt;=0,0,R508*(1-MIN(1,N(D508)/Q508)))))</f>
        <v/>
      </c>
      <c r="U508" t="str">
        <f>IF(B508&lt;&gt;"Vendita","",J508-N(G508)-IF(Q508&lt;=0,0,R508*MIN(1,N(D508)/Q508)))</f>
        <v/>
      </c>
      <c r="V508" t="str">
        <f>IF(B508&lt;&gt;"Dividendo","",IF(Calcoli!$B$251=1,J508,L508))</f>
        <v/>
      </c>
      <c r="W508" t="str">
        <f>IF(AND(V508&lt;&gt;"",ISNUMBER(A508)),A508,"")</f>
        <v/>
      </c>
    </row>
    <row r="509">
      <c r="A509" s="134" t="n"/>
      <c r="B509" s="116" t="n"/>
      <c r="C509" s="116" t="n"/>
      <c r="D509" s="121" t="n"/>
      <c r="E509" s="120" t="n"/>
      <c r="F509" s="120" t="n"/>
      <c r="G509" s="120" t="n"/>
      <c r="H509" s="120" t="n"/>
      <c r="I509" s="117" t="n"/>
      <c r="J509" s="123" t="str">
        <f>IF(B509="","",IF(F509&lt;&gt;"",N(F509),ROUND(N(D509)*N(E509),2)))</f>
        <v/>
      </c>
      <c r="K509" s="123" t="str">
        <f>IF(B509="","",IF(H509&lt;&gt;"",N(H509),IF(B509="Dividendo",ROUND(J509*IFERROR(INDEX(Calcoli!$V$7:$V$21,MATCH(C509,Calcoli!$A$7:$A$21,0)),0.26),2),IF(B509="Vendita",ROUND(MAX(0,U509)*IFERROR(INDEX(Calcoli!$V$7:$V$21,MATCH(C509,Calcoli!$A$7:$A$21,0)),0.26),2),0))))</f>
        <v/>
      </c>
      <c r="L509" s="135" t="str">
        <f>IF(B509="","",IF(B509="Acquisto",-(J509+N(G509)),J509-N(G509)-K509))</f>
        <v/>
      </c>
      <c r="M509" s="127" t="str">
        <f>IF(B509="","",IF(ISNA(MATCH(C509,ETF!$A$7:$A$21,0)),"ETF?",IF(NOT(ISNUMBER(A509)),"Data?",IF(AND(B509&lt;&gt;"Dividendo",N(D509)&lt;=0),"Quote?",IF(AND(B509="Vendita",N(D509)&gt;N(Q509)+0.000001),"Quote?",IF(J509&lt;=0,"Importo?","✓"))))))</f>
        <v/>
      </c>
      <c r="N509" t="str">
        <f>IF(OR(B509="Acquisto",B509="Vendita"),COUNTIFS($C$5:C509,C509,$B$5:B509,"Acquisto")+COUNTIFS($C$5:C509,C509,$B$5:B509,"Vendita"),"")</f>
        <v/>
      </c>
      <c r="O509" t="str">
        <f>IF(N509="","",C509&amp;"|"&amp;N509)</f>
        <v/>
      </c>
      <c r="P509" t="str">
        <f>IF(N509="","",IF(N509=1,0,MATCH(C509&amp;"|"&amp;(N509-1),$O$5:$O$1004,0)))</f>
        <v/>
      </c>
      <c r="Q509" t="str">
        <f>IF(N509="","",IF(P509=0,SUMIFS(Calcoli!$C$7:$C$21,Calcoli!$A$7:$A$21,C509),INDEX($S$5:$S$1004,P509)))</f>
        <v/>
      </c>
      <c r="R509" t="str">
        <f>IF(N509="","",IF(P509=0,SUMIFS(Calcoli!$D$7:$D$21,Calcoli!$A$7:$A$21,C509),INDEX($T$5:$T$1004,P509)))</f>
        <v/>
      </c>
      <c r="S509" t="str">
        <f>IF(N509="","",IF(B509="Acquisto",Q509+N(D509),MAX(0,Q509-N(D509))))</f>
        <v/>
      </c>
      <c r="T509" t="str">
        <f>IF(N509="","",IF(B509="Acquisto",R509+J509+N(G509),IF(Q509&lt;=0,0,R509*(1-MIN(1,N(D509)/Q509)))))</f>
        <v/>
      </c>
      <c r="U509" t="str">
        <f>IF(B509&lt;&gt;"Vendita","",J509-N(G509)-IF(Q509&lt;=0,0,R509*MIN(1,N(D509)/Q509)))</f>
        <v/>
      </c>
      <c r="V509" t="str">
        <f>IF(B509&lt;&gt;"Dividendo","",IF(Calcoli!$B$251=1,J509,L509))</f>
        <v/>
      </c>
      <c r="W509" t="str">
        <f>IF(AND(V509&lt;&gt;"",ISNUMBER(A509)),A509,"")</f>
        <v/>
      </c>
    </row>
    <row r="510">
      <c r="A510" s="134" t="n"/>
      <c r="B510" s="116" t="n"/>
      <c r="C510" s="116" t="n"/>
      <c r="D510" s="121" t="n"/>
      <c r="E510" s="120" t="n"/>
      <c r="F510" s="120" t="n"/>
      <c r="G510" s="120" t="n"/>
      <c r="H510" s="120" t="n"/>
      <c r="I510" s="117" t="n"/>
      <c r="J510" s="123" t="str">
        <f>IF(B510="","",IF(F510&lt;&gt;"",N(F510),ROUND(N(D510)*N(E510),2)))</f>
        <v/>
      </c>
      <c r="K510" s="123" t="str">
        <f>IF(B510="","",IF(H510&lt;&gt;"",N(H510),IF(B510="Dividendo",ROUND(J510*IFERROR(INDEX(Calcoli!$V$7:$V$21,MATCH(C510,Calcoli!$A$7:$A$21,0)),0.26),2),IF(B510="Vendita",ROUND(MAX(0,U510)*IFERROR(INDEX(Calcoli!$V$7:$V$21,MATCH(C510,Calcoli!$A$7:$A$21,0)),0.26),2),0))))</f>
        <v/>
      </c>
      <c r="L510" s="135" t="str">
        <f>IF(B510="","",IF(B510="Acquisto",-(J510+N(G510)),J510-N(G510)-K510))</f>
        <v/>
      </c>
      <c r="M510" s="127" t="str">
        <f>IF(B510="","",IF(ISNA(MATCH(C510,ETF!$A$7:$A$21,0)),"ETF?",IF(NOT(ISNUMBER(A510)),"Data?",IF(AND(B510&lt;&gt;"Dividendo",N(D510)&lt;=0),"Quote?",IF(AND(B510="Vendita",N(D510)&gt;N(Q510)+0.000001),"Quote?",IF(J510&lt;=0,"Importo?","✓"))))))</f>
        <v/>
      </c>
      <c r="N510" t="str">
        <f>IF(OR(B510="Acquisto",B510="Vendita"),COUNTIFS($C$5:C510,C510,$B$5:B510,"Acquisto")+COUNTIFS($C$5:C510,C510,$B$5:B510,"Vendita"),"")</f>
        <v/>
      </c>
      <c r="O510" t="str">
        <f>IF(N510="","",C510&amp;"|"&amp;N510)</f>
        <v/>
      </c>
      <c r="P510" t="str">
        <f>IF(N510="","",IF(N510=1,0,MATCH(C510&amp;"|"&amp;(N510-1),$O$5:$O$1004,0)))</f>
        <v/>
      </c>
      <c r="Q510" t="str">
        <f>IF(N510="","",IF(P510=0,SUMIFS(Calcoli!$C$7:$C$21,Calcoli!$A$7:$A$21,C510),INDEX($S$5:$S$1004,P510)))</f>
        <v/>
      </c>
      <c r="R510" t="str">
        <f>IF(N510="","",IF(P510=0,SUMIFS(Calcoli!$D$7:$D$21,Calcoli!$A$7:$A$21,C510),INDEX($T$5:$T$1004,P510)))</f>
        <v/>
      </c>
      <c r="S510" t="str">
        <f>IF(N510="","",IF(B510="Acquisto",Q510+N(D510),MAX(0,Q510-N(D510))))</f>
        <v/>
      </c>
      <c r="T510" t="str">
        <f>IF(N510="","",IF(B510="Acquisto",R510+J510+N(G510),IF(Q510&lt;=0,0,R510*(1-MIN(1,N(D510)/Q510)))))</f>
        <v/>
      </c>
      <c r="U510" t="str">
        <f>IF(B510&lt;&gt;"Vendita","",J510-N(G510)-IF(Q510&lt;=0,0,R510*MIN(1,N(D510)/Q510)))</f>
        <v/>
      </c>
      <c r="V510" t="str">
        <f>IF(B510&lt;&gt;"Dividendo","",IF(Calcoli!$B$251=1,J510,L510))</f>
        <v/>
      </c>
      <c r="W510" t="str">
        <f>IF(AND(V510&lt;&gt;"",ISNUMBER(A510)),A510,"")</f>
        <v/>
      </c>
    </row>
    <row r="511">
      <c r="A511" s="134" t="n"/>
      <c r="B511" s="116" t="n"/>
      <c r="C511" s="116" t="n"/>
      <c r="D511" s="121" t="n"/>
      <c r="E511" s="120" t="n"/>
      <c r="F511" s="120" t="n"/>
      <c r="G511" s="120" t="n"/>
      <c r="H511" s="120" t="n"/>
      <c r="I511" s="117" t="n"/>
      <c r="J511" s="123" t="str">
        <f>IF(B511="","",IF(F511&lt;&gt;"",N(F511),ROUND(N(D511)*N(E511),2)))</f>
        <v/>
      </c>
      <c r="K511" s="123" t="str">
        <f>IF(B511="","",IF(H511&lt;&gt;"",N(H511),IF(B511="Dividendo",ROUND(J511*IFERROR(INDEX(Calcoli!$V$7:$V$21,MATCH(C511,Calcoli!$A$7:$A$21,0)),0.26),2),IF(B511="Vendita",ROUND(MAX(0,U511)*IFERROR(INDEX(Calcoli!$V$7:$V$21,MATCH(C511,Calcoli!$A$7:$A$21,0)),0.26),2),0))))</f>
        <v/>
      </c>
      <c r="L511" s="135" t="str">
        <f>IF(B511="","",IF(B511="Acquisto",-(J511+N(G511)),J511-N(G511)-K511))</f>
        <v/>
      </c>
      <c r="M511" s="127" t="str">
        <f>IF(B511="","",IF(ISNA(MATCH(C511,ETF!$A$7:$A$21,0)),"ETF?",IF(NOT(ISNUMBER(A511)),"Data?",IF(AND(B511&lt;&gt;"Dividendo",N(D511)&lt;=0),"Quote?",IF(AND(B511="Vendita",N(D511)&gt;N(Q511)+0.000001),"Quote?",IF(J511&lt;=0,"Importo?","✓"))))))</f>
        <v/>
      </c>
      <c r="N511" t="str">
        <f>IF(OR(B511="Acquisto",B511="Vendita"),COUNTIFS($C$5:C511,C511,$B$5:B511,"Acquisto")+COUNTIFS($C$5:C511,C511,$B$5:B511,"Vendita"),"")</f>
        <v/>
      </c>
      <c r="O511" t="str">
        <f>IF(N511="","",C511&amp;"|"&amp;N511)</f>
        <v/>
      </c>
      <c r="P511" t="str">
        <f>IF(N511="","",IF(N511=1,0,MATCH(C511&amp;"|"&amp;(N511-1),$O$5:$O$1004,0)))</f>
        <v/>
      </c>
      <c r="Q511" t="str">
        <f>IF(N511="","",IF(P511=0,SUMIFS(Calcoli!$C$7:$C$21,Calcoli!$A$7:$A$21,C511),INDEX($S$5:$S$1004,P511)))</f>
        <v/>
      </c>
      <c r="R511" t="str">
        <f>IF(N511="","",IF(P511=0,SUMIFS(Calcoli!$D$7:$D$21,Calcoli!$A$7:$A$21,C511),INDEX($T$5:$T$1004,P511)))</f>
        <v/>
      </c>
      <c r="S511" t="str">
        <f>IF(N511="","",IF(B511="Acquisto",Q511+N(D511),MAX(0,Q511-N(D511))))</f>
        <v/>
      </c>
      <c r="T511" t="str">
        <f>IF(N511="","",IF(B511="Acquisto",R511+J511+N(G511),IF(Q511&lt;=0,0,R511*(1-MIN(1,N(D511)/Q511)))))</f>
        <v/>
      </c>
      <c r="U511" t="str">
        <f>IF(B511&lt;&gt;"Vendita","",J511-N(G511)-IF(Q511&lt;=0,0,R511*MIN(1,N(D511)/Q511)))</f>
        <v/>
      </c>
      <c r="V511" t="str">
        <f>IF(B511&lt;&gt;"Dividendo","",IF(Calcoli!$B$251=1,J511,L511))</f>
        <v/>
      </c>
      <c r="W511" t="str">
        <f>IF(AND(V511&lt;&gt;"",ISNUMBER(A511)),A511,"")</f>
        <v/>
      </c>
    </row>
    <row r="512">
      <c r="A512" s="134" t="n"/>
      <c r="B512" s="116" t="n"/>
      <c r="C512" s="116" t="n"/>
      <c r="D512" s="121" t="n"/>
      <c r="E512" s="120" t="n"/>
      <c r="F512" s="120" t="n"/>
      <c r="G512" s="120" t="n"/>
      <c r="H512" s="120" t="n"/>
      <c r="I512" s="117" t="n"/>
      <c r="J512" s="123" t="str">
        <f>IF(B512="","",IF(F512&lt;&gt;"",N(F512),ROUND(N(D512)*N(E512),2)))</f>
        <v/>
      </c>
      <c r="K512" s="123" t="str">
        <f>IF(B512="","",IF(H512&lt;&gt;"",N(H512),IF(B512="Dividendo",ROUND(J512*IFERROR(INDEX(Calcoli!$V$7:$V$21,MATCH(C512,Calcoli!$A$7:$A$21,0)),0.26),2),IF(B512="Vendita",ROUND(MAX(0,U512)*IFERROR(INDEX(Calcoli!$V$7:$V$21,MATCH(C512,Calcoli!$A$7:$A$21,0)),0.26),2),0))))</f>
        <v/>
      </c>
      <c r="L512" s="135" t="str">
        <f>IF(B512="","",IF(B512="Acquisto",-(J512+N(G512)),J512-N(G512)-K512))</f>
        <v/>
      </c>
      <c r="M512" s="127" t="str">
        <f>IF(B512="","",IF(ISNA(MATCH(C512,ETF!$A$7:$A$21,0)),"ETF?",IF(NOT(ISNUMBER(A512)),"Data?",IF(AND(B512&lt;&gt;"Dividendo",N(D512)&lt;=0),"Quote?",IF(AND(B512="Vendita",N(D512)&gt;N(Q512)+0.000001),"Quote?",IF(J512&lt;=0,"Importo?","✓"))))))</f>
        <v/>
      </c>
      <c r="N512" t="str">
        <f>IF(OR(B512="Acquisto",B512="Vendita"),COUNTIFS($C$5:C512,C512,$B$5:B512,"Acquisto")+COUNTIFS($C$5:C512,C512,$B$5:B512,"Vendita"),"")</f>
        <v/>
      </c>
      <c r="O512" t="str">
        <f>IF(N512="","",C512&amp;"|"&amp;N512)</f>
        <v/>
      </c>
      <c r="P512" t="str">
        <f>IF(N512="","",IF(N512=1,0,MATCH(C512&amp;"|"&amp;(N512-1),$O$5:$O$1004,0)))</f>
        <v/>
      </c>
      <c r="Q512" t="str">
        <f>IF(N512="","",IF(P512=0,SUMIFS(Calcoli!$C$7:$C$21,Calcoli!$A$7:$A$21,C512),INDEX($S$5:$S$1004,P512)))</f>
        <v/>
      </c>
      <c r="R512" t="str">
        <f>IF(N512="","",IF(P512=0,SUMIFS(Calcoli!$D$7:$D$21,Calcoli!$A$7:$A$21,C512),INDEX($T$5:$T$1004,P512)))</f>
        <v/>
      </c>
      <c r="S512" t="str">
        <f>IF(N512="","",IF(B512="Acquisto",Q512+N(D512),MAX(0,Q512-N(D512))))</f>
        <v/>
      </c>
      <c r="T512" t="str">
        <f>IF(N512="","",IF(B512="Acquisto",R512+J512+N(G512),IF(Q512&lt;=0,0,R512*(1-MIN(1,N(D512)/Q512)))))</f>
        <v/>
      </c>
      <c r="U512" t="str">
        <f>IF(B512&lt;&gt;"Vendita","",J512-N(G512)-IF(Q512&lt;=0,0,R512*MIN(1,N(D512)/Q512)))</f>
        <v/>
      </c>
      <c r="V512" t="str">
        <f>IF(B512&lt;&gt;"Dividendo","",IF(Calcoli!$B$251=1,J512,L512))</f>
        <v/>
      </c>
      <c r="W512" t="str">
        <f>IF(AND(V512&lt;&gt;"",ISNUMBER(A512)),A512,"")</f>
        <v/>
      </c>
    </row>
    <row r="513">
      <c r="A513" s="134" t="n"/>
      <c r="B513" s="116" t="n"/>
      <c r="C513" s="116" t="n"/>
      <c r="D513" s="121" t="n"/>
      <c r="E513" s="120" t="n"/>
      <c r="F513" s="120" t="n"/>
      <c r="G513" s="120" t="n"/>
      <c r="H513" s="120" t="n"/>
      <c r="I513" s="117" t="n"/>
      <c r="J513" s="123" t="str">
        <f>IF(B513="","",IF(F513&lt;&gt;"",N(F513),ROUND(N(D513)*N(E513),2)))</f>
        <v/>
      </c>
      <c r="K513" s="123" t="str">
        <f>IF(B513="","",IF(H513&lt;&gt;"",N(H513),IF(B513="Dividendo",ROUND(J513*IFERROR(INDEX(Calcoli!$V$7:$V$21,MATCH(C513,Calcoli!$A$7:$A$21,0)),0.26),2),IF(B513="Vendita",ROUND(MAX(0,U513)*IFERROR(INDEX(Calcoli!$V$7:$V$21,MATCH(C513,Calcoli!$A$7:$A$21,0)),0.26),2),0))))</f>
        <v/>
      </c>
      <c r="L513" s="135" t="str">
        <f>IF(B513="","",IF(B513="Acquisto",-(J513+N(G513)),J513-N(G513)-K513))</f>
        <v/>
      </c>
      <c r="M513" s="127" t="str">
        <f>IF(B513="","",IF(ISNA(MATCH(C513,ETF!$A$7:$A$21,0)),"ETF?",IF(NOT(ISNUMBER(A513)),"Data?",IF(AND(B513&lt;&gt;"Dividendo",N(D513)&lt;=0),"Quote?",IF(AND(B513="Vendita",N(D513)&gt;N(Q513)+0.000001),"Quote?",IF(J513&lt;=0,"Importo?","✓"))))))</f>
        <v/>
      </c>
      <c r="N513" t="str">
        <f>IF(OR(B513="Acquisto",B513="Vendita"),COUNTIFS($C$5:C513,C513,$B$5:B513,"Acquisto")+COUNTIFS($C$5:C513,C513,$B$5:B513,"Vendita"),"")</f>
        <v/>
      </c>
      <c r="O513" t="str">
        <f>IF(N513="","",C513&amp;"|"&amp;N513)</f>
        <v/>
      </c>
      <c r="P513" t="str">
        <f>IF(N513="","",IF(N513=1,0,MATCH(C513&amp;"|"&amp;(N513-1),$O$5:$O$1004,0)))</f>
        <v/>
      </c>
      <c r="Q513" t="str">
        <f>IF(N513="","",IF(P513=0,SUMIFS(Calcoli!$C$7:$C$21,Calcoli!$A$7:$A$21,C513),INDEX($S$5:$S$1004,P513)))</f>
        <v/>
      </c>
      <c r="R513" t="str">
        <f>IF(N513="","",IF(P513=0,SUMIFS(Calcoli!$D$7:$D$21,Calcoli!$A$7:$A$21,C513),INDEX($T$5:$T$1004,P513)))</f>
        <v/>
      </c>
      <c r="S513" t="str">
        <f>IF(N513="","",IF(B513="Acquisto",Q513+N(D513),MAX(0,Q513-N(D513))))</f>
        <v/>
      </c>
      <c r="T513" t="str">
        <f>IF(N513="","",IF(B513="Acquisto",R513+J513+N(G513),IF(Q513&lt;=0,0,R513*(1-MIN(1,N(D513)/Q513)))))</f>
        <v/>
      </c>
      <c r="U513" t="str">
        <f>IF(B513&lt;&gt;"Vendita","",J513-N(G513)-IF(Q513&lt;=0,0,R513*MIN(1,N(D513)/Q513)))</f>
        <v/>
      </c>
      <c r="V513" t="str">
        <f>IF(B513&lt;&gt;"Dividendo","",IF(Calcoli!$B$251=1,J513,L513))</f>
        <v/>
      </c>
      <c r="W513" t="str">
        <f>IF(AND(V513&lt;&gt;"",ISNUMBER(A513)),A513,"")</f>
        <v/>
      </c>
    </row>
    <row r="514">
      <c r="A514" s="134" t="n"/>
      <c r="B514" s="116" t="n"/>
      <c r="C514" s="116" t="n"/>
      <c r="D514" s="121" t="n"/>
      <c r="E514" s="120" t="n"/>
      <c r="F514" s="120" t="n"/>
      <c r="G514" s="120" t="n"/>
      <c r="H514" s="120" t="n"/>
      <c r="I514" s="117" t="n"/>
      <c r="J514" s="123" t="str">
        <f>IF(B514="","",IF(F514&lt;&gt;"",N(F514),ROUND(N(D514)*N(E514),2)))</f>
        <v/>
      </c>
      <c r="K514" s="123" t="str">
        <f>IF(B514="","",IF(H514&lt;&gt;"",N(H514),IF(B514="Dividendo",ROUND(J514*IFERROR(INDEX(Calcoli!$V$7:$V$21,MATCH(C514,Calcoli!$A$7:$A$21,0)),0.26),2),IF(B514="Vendita",ROUND(MAX(0,U514)*IFERROR(INDEX(Calcoli!$V$7:$V$21,MATCH(C514,Calcoli!$A$7:$A$21,0)),0.26),2),0))))</f>
        <v/>
      </c>
      <c r="L514" s="135" t="str">
        <f>IF(B514="","",IF(B514="Acquisto",-(J514+N(G514)),J514-N(G514)-K514))</f>
        <v/>
      </c>
      <c r="M514" s="127" t="str">
        <f>IF(B514="","",IF(ISNA(MATCH(C514,ETF!$A$7:$A$21,0)),"ETF?",IF(NOT(ISNUMBER(A514)),"Data?",IF(AND(B514&lt;&gt;"Dividendo",N(D514)&lt;=0),"Quote?",IF(AND(B514="Vendita",N(D514)&gt;N(Q514)+0.000001),"Quote?",IF(J514&lt;=0,"Importo?","✓"))))))</f>
        <v/>
      </c>
      <c r="N514" t="str">
        <f>IF(OR(B514="Acquisto",B514="Vendita"),COUNTIFS($C$5:C514,C514,$B$5:B514,"Acquisto")+COUNTIFS($C$5:C514,C514,$B$5:B514,"Vendita"),"")</f>
        <v/>
      </c>
      <c r="O514" t="str">
        <f>IF(N514="","",C514&amp;"|"&amp;N514)</f>
        <v/>
      </c>
      <c r="P514" t="str">
        <f>IF(N514="","",IF(N514=1,0,MATCH(C514&amp;"|"&amp;(N514-1),$O$5:$O$1004,0)))</f>
        <v/>
      </c>
      <c r="Q514" t="str">
        <f>IF(N514="","",IF(P514=0,SUMIFS(Calcoli!$C$7:$C$21,Calcoli!$A$7:$A$21,C514),INDEX($S$5:$S$1004,P514)))</f>
        <v/>
      </c>
      <c r="R514" t="str">
        <f>IF(N514="","",IF(P514=0,SUMIFS(Calcoli!$D$7:$D$21,Calcoli!$A$7:$A$21,C514),INDEX($T$5:$T$1004,P514)))</f>
        <v/>
      </c>
      <c r="S514" t="str">
        <f>IF(N514="","",IF(B514="Acquisto",Q514+N(D514),MAX(0,Q514-N(D514))))</f>
        <v/>
      </c>
      <c r="T514" t="str">
        <f>IF(N514="","",IF(B514="Acquisto",R514+J514+N(G514),IF(Q514&lt;=0,0,R514*(1-MIN(1,N(D514)/Q514)))))</f>
        <v/>
      </c>
      <c r="U514" t="str">
        <f>IF(B514&lt;&gt;"Vendita","",J514-N(G514)-IF(Q514&lt;=0,0,R514*MIN(1,N(D514)/Q514)))</f>
        <v/>
      </c>
      <c r="V514" t="str">
        <f>IF(B514&lt;&gt;"Dividendo","",IF(Calcoli!$B$251=1,J514,L514))</f>
        <v/>
      </c>
      <c r="W514" t="str">
        <f>IF(AND(V514&lt;&gt;"",ISNUMBER(A514)),A514,"")</f>
        <v/>
      </c>
    </row>
    <row r="515">
      <c r="A515" s="134" t="n"/>
      <c r="B515" s="116" t="n"/>
      <c r="C515" s="116" t="n"/>
      <c r="D515" s="121" t="n"/>
      <c r="E515" s="120" t="n"/>
      <c r="F515" s="120" t="n"/>
      <c r="G515" s="120" t="n"/>
      <c r="H515" s="120" t="n"/>
      <c r="I515" s="117" t="n"/>
      <c r="J515" s="123" t="str">
        <f>IF(B515="","",IF(F515&lt;&gt;"",N(F515),ROUND(N(D515)*N(E515),2)))</f>
        <v/>
      </c>
      <c r="K515" s="123" t="str">
        <f>IF(B515="","",IF(H515&lt;&gt;"",N(H515),IF(B515="Dividendo",ROUND(J515*IFERROR(INDEX(Calcoli!$V$7:$V$21,MATCH(C515,Calcoli!$A$7:$A$21,0)),0.26),2),IF(B515="Vendita",ROUND(MAX(0,U515)*IFERROR(INDEX(Calcoli!$V$7:$V$21,MATCH(C515,Calcoli!$A$7:$A$21,0)),0.26),2),0))))</f>
        <v/>
      </c>
      <c r="L515" s="135" t="str">
        <f>IF(B515="","",IF(B515="Acquisto",-(J515+N(G515)),J515-N(G515)-K515))</f>
        <v/>
      </c>
      <c r="M515" s="127" t="str">
        <f>IF(B515="","",IF(ISNA(MATCH(C515,ETF!$A$7:$A$21,0)),"ETF?",IF(NOT(ISNUMBER(A515)),"Data?",IF(AND(B515&lt;&gt;"Dividendo",N(D515)&lt;=0),"Quote?",IF(AND(B515="Vendita",N(D515)&gt;N(Q515)+0.000001),"Quote?",IF(J515&lt;=0,"Importo?","✓"))))))</f>
        <v/>
      </c>
      <c r="N515" t="str">
        <f>IF(OR(B515="Acquisto",B515="Vendita"),COUNTIFS($C$5:C515,C515,$B$5:B515,"Acquisto")+COUNTIFS($C$5:C515,C515,$B$5:B515,"Vendita"),"")</f>
        <v/>
      </c>
      <c r="O515" t="str">
        <f>IF(N515="","",C515&amp;"|"&amp;N515)</f>
        <v/>
      </c>
      <c r="P515" t="str">
        <f>IF(N515="","",IF(N515=1,0,MATCH(C515&amp;"|"&amp;(N515-1),$O$5:$O$1004,0)))</f>
        <v/>
      </c>
      <c r="Q515" t="str">
        <f>IF(N515="","",IF(P515=0,SUMIFS(Calcoli!$C$7:$C$21,Calcoli!$A$7:$A$21,C515),INDEX($S$5:$S$1004,P515)))</f>
        <v/>
      </c>
      <c r="R515" t="str">
        <f>IF(N515="","",IF(P515=0,SUMIFS(Calcoli!$D$7:$D$21,Calcoli!$A$7:$A$21,C515),INDEX($T$5:$T$1004,P515)))</f>
        <v/>
      </c>
      <c r="S515" t="str">
        <f>IF(N515="","",IF(B515="Acquisto",Q515+N(D515),MAX(0,Q515-N(D515))))</f>
        <v/>
      </c>
      <c r="T515" t="str">
        <f>IF(N515="","",IF(B515="Acquisto",R515+J515+N(G515),IF(Q515&lt;=0,0,R515*(1-MIN(1,N(D515)/Q515)))))</f>
        <v/>
      </c>
      <c r="U515" t="str">
        <f>IF(B515&lt;&gt;"Vendita","",J515-N(G515)-IF(Q515&lt;=0,0,R515*MIN(1,N(D515)/Q515)))</f>
        <v/>
      </c>
      <c r="V515" t="str">
        <f>IF(B515&lt;&gt;"Dividendo","",IF(Calcoli!$B$251=1,J515,L515))</f>
        <v/>
      </c>
      <c r="W515" t="str">
        <f>IF(AND(V515&lt;&gt;"",ISNUMBER(A515)),A515,"")</f>
        <v/>
      </c>
    </row>
    <row r="516">
      <c r="A516" s="134" t="n"/>
      <c r="B516" s="116" t="n"/>
      <c r="C516" s="116" t="n"/>
      <c r="D516" s="121" t="n"/>
      <c r="E516" s="120" t="n"/>
      <c r="F516" s="120" t="n"/>
      <c r="G516" s="120" t="n"/>
      <c r="H516" s="120" t="n"/>
      <c r="I516" s="117" t="n"/>
      <c r="J516" s="123" t="str">
        <f>IF(B516="","",IF(F516&lt;&gt;"",N(F516),ROUND(N(D516)*N(E516),2)))</f>
        <v/>
      </c>
      <c r="K516" s="123" t="str">
        <f>IF(B516="","",IF(H516&lt;&gt;"",N(H516),IF(B516="Dividendo",ROUND(J516*IFERROR(INDEX(Calcoli!$V$7:$V$21,MATCH(C516,Calcoli!$A$7:$A$21,0)),0.26),2),IF(B516="Vendita",ROUND(MAX(0,U516)*IFERROR(INDEX(Calcoli!$V$7:$V$21,MATCH(C516,Calcoli!$A$7:$A$21,0)),0.26),2),0))))</f>
        <v/>
      </c>
      <c r="L516" s="135" t="str">
        <f>IF(B516="","",IF(B516="Acquisto",-(J516+N(G516)),J516-N(G516)-K516))</f>
        <v/>
      </c>
      <c r="M516" s="127" t="str">
        <f>IF(B516="","",IF(ISNA(MATCH(C516,ETF!$A$7:$A$21,0)),"ETF?",IF(NOT(ISNUMBER(A516)),"Data?",IF(AND(B516&lt;&gt;"Dividendo",N(D516)&lt;=0),"Quote?",IF(AND(B516="Vendita",N(D516)&gt;N(Q516)+0.000001),"Quote?",IF(J516&lt;=0,"Importo?","✓"))))))</f>
        <v/>
      </c>
      <c r="N516" t="str">
        <f>IF(OR(B516="Acquisto",B516="Vendita"),COUNTIFS($C$5:C516,C516,$B$5:B516,"Acquisto")+COUNTIFS($C$5:C516,C516,$B$5:B516,"Vendita"),"")</f>
        <v/>
      </c>
      <c r="O516" t="str">
        <f>IF(N516="","",C516&amp;"|"&amp;N516)</f>
        <v/>
      </c>
      <c r="P516" t="str">
        <f>IF(N516="","",IF(N516=1,0,MATCH(C516&amp;"|"&amp;(N516-1),$O$5:$O$1004,0)))</f>
        <v/>
      </c>
      <c r="Q516" t="str">
        <f>IF(N516="","",IF(P516=0,SUMIFS(Calcoli!$C$7:$C$21,Calcoli!$A$7:$A$21,C516),INDEX($S$5:$S$1004,P516)))</f>
        <v/>
      </c>
      <c r="R516" t="str">
        <f>IF(N516="","",IF(P516=0,SUMIFS(Calcoli!$D$7:$D$21,Calcoli!$A$7:$A$21,C516),INDEX($T$5:$T$1004,P516)))</f>
        <v/>
      </c>
      <c r="S516" t="str">
        <f>IF(N516="","",IF(B516="Acquisto",Q516+N(D516),MAX(0,Q516-N(D516))))</f>
        <v/>
      </c>
      <c r="T516" t="str">
        <f>IF(N516="","",IF(B516="Acquisto",R516+J516+N(G516),IF(Q516&lt;=0,0,R516*(1-MIN(1,N(D516)/Q516)))))</f>
        <v/>
      </c>
      <c r="U516" t="str">
        <f>IF(B516&lt;&gt;"Vendita","",J516-N(G516)-IF(Q516&lt;=0,0,R516*MIN(1,N(D516)/Q516)))</f>
        <v/>
      </c>
      <c r="V516" t="str">
        <f>IF(B516&lt;&gt;"Dividendo","",IF(Calcoli!$B$251=1,J516,L516))</f>
        <v/>
      </c>
      <c r="W516" t="str">
        <f>IF(AND(V516&lt;&gt;"",ISNUMBER(A516)),A516,"")</f>
        <v/>
      </c>
    </row>
    <row r="517">
      <c r="A517" s="134" t="n"/>
      <c r="B517" s="116" t="n"/>
      <c r="C517" s="116" t="n"/>
      <c r="D517" s="121" t="n"/>
      <c r="E517" s="120" t="n"/>
      <c r="F517" s="120" t="n"/>
      <c r="G517" s="120" t="n"/>
      <c r="H517" s="120" t="n"/>
      <c r="I517" s="117" t="n"/>
      <c r="J517" s="123" t="str">
        <f>IF(B517="","",IF(F517&lt;&gt;"",N(F517),ROUND(N(D517)*N(E517),2)))</f>
        <v/>
      </c>
      <c r="K517" s="123" t="str">
        <f>IF(B517="","",IF(H517&lt;&gt;"",N(H517),IF(B517="Dividendo",ROUND(J517*IFERROR(INDEX(Calcoli!$V$7:$V$21,MATCH(C517,Calcoli!$A$7:$A$21,0)),0.26),2),IF(B517="Vendita",ROUND(MAX(0,U517)*IFERROR(INDEX(Calcoli!$V$7:$V$21,MATCH(C517,Calcoli!$A$7:$A$21,0)),0.26),2),0))))</f>
        <v/>
      </c>
      <c r="L517" s="135" t="str">
        <f>IF(B517="","",IF(B517="Acquisto",-(J517+N(G517)),J517-N(G517)-K517))</f>
        <v/>
      </c>
      <c r="M517" s="127" t="str">
        <f>IF(B517="","",IF(ISNA(MATCH(C517,ETF!$A$7:$A$21,0)),"ETF?",IF(NOT(ISNUMBER(A517)),"Data?",IF(AND(B517&lt;&gt;"Dividendo",N(D517)&lt;=0),"Quote?",IF(AND(B517="Vendita",N(D517)&gt;N(Q517)+0.000001),"Quote?",IF(J517&lt;=0,"Importo?","✓"))))))</f>
        <v/>
      </c>
      <c r="N517" t="str">
        <f>IF(OR(B517="Acquisto",B517="Vendita"),COUNTIFS($C$5:C517,C517,$B$5:B517,"Acquisto")+COUNTIFS($C$5:C517,C517,$B$5:B517,"Vendita"),"")</f>
        <v/>
      </c>
      <c r="O517" t="str">
        <f>IF(N517="","",C517&amp;"|"&amp;N517)</f>
        <v/>
      </c>
      <c r="P517" t="str">
        <f>IF(N517="","",IF(N517=1,0,MATCH(C517&amp;"|"&amp;(N517-1),$O$5:$O$1004,0)))</f>
        <v/>
      </c>
      <c r="Q517" t="str">
        <f>IF(N517="","",IF(P517=0,SUMIFS(Calcoli!$C$7:$C$21,Calcoli!$A$7:$A$21,C517),INDEX($S$5:$S$1004,P517)))</f>
        <v/>
      </c>
      <c r="R517" t="str">
        <f>IF(N517="","",IF(P517=0,SUMIFS(Calcoli!$D$7:$D$21,Calcoli!$A$7:$A$21,C517),INDEX($T$5:$T$1004,P517)))</f>
        <v/>
      </c>
      <c r="S517" t="str">
        <f>IF(N517="","",IF(B517="Acquisto",Q517+N(D517),MAX(0,Q517-N(D517))))</f>
        <v/>
      </c>
      <c r="T517" t="str">
        <f>IF(N517="","",IF(B517="Acquisto",R517+J517+N(G517),IF(Q517&lt;=0,0,R517*(1-MIN(1,N(D517)/Q517)))))</f>
        <v/>
      </c>
      <c r="U517" t="str">
        <f>IF(B517&lt;&gt;"Vendita","",J517-N(G517)-IF(Q517&lt;=0,0,R517*MIN(1,N(D517)/Q517)))</f>
        <v/>
      </c>
      <c r="V517" t="str">
        <f>IF(B517&lt;&gt;"Dividendo","",IF(Calcoli!$B$251=1,J517,L517))</f>
        <v/>
      </c>
      <c r="W517" t="str">
        <f>IF(AND(V517&lt;&gt;"",ISNUMBER(A517)),A517,"")</f>
        <v/>
      </c>
    </row>
    <row r="518">
      <c r="A518" s="134" t="n"/>
      <c r="B518" s="116" t="n"/>
      <c r="C518" s="116" t="n"/>
      <c r="D518" s="121" t="n"/>
      <c r="E518" s="120" t="n"/>
      <c r="F518" s="120" t="n"/>
      <c r="G518" s="120" t="n"/>
      <c r="H518" s="120" t="n"/>
      <c r="I518" s="117" t="n"/>
      <c r="J518" s="123" t="str">
        <f>IF(B518="","",IF(F518&lt;&gt;"",N(F518),ROUND(N(D518)*N(E518),2)))</f>
        <v/>
      </c>
      <c r="K518" s="123" t="str">
        <f>IF(B518="","",IF(H518&lt;&gt;"",N(H518),IF(B518="Dividendo",ROUND(J518*IFERROR(INDEX(Calcoli!$V$7:$V$21,MATCH(C518,Calcoli!$A$7:$A$21,0)),0.26),2),IF(B518="Vendita",ROUND(MAX(0,U518)*IFERROR(INDEX(Calcoli!$V$7:$V$21,MATCH(C518,Calcoli!$A$7:$A$21,0)),0.26),2),0))))</f>
        <v/>
      </c>
      <c r="L518" s="135" t="str">
        <f>IF(B518="","",IF(B518="Acquisto",-(J518+N(G518)),J518-N(G518)-K518))</f>
        <v/>
      </c>
      <c r="M518" s="127" t="str">
        <f>IF(B518="","",IF(ISNA(MATCH(C518,ETF!$A$7:$A$21,0)),"ETF?",IF(NOT(ISNUMBER(A518)),"Data?",IF(AND(B518&lt;&gt;"Dividendo",N(D518)&lt;=0),"Quote?",IF(AND(B518="Vendita",N(D518)&gt;N(Q518)+0.000001),"Quote?",IF(J518&lt;=0,"Importo?","✓"))))))</f>
        <v/>
      </c>
      <c r="N518" t="str">
        <f>IF(OR(B518="Acquisto",B518="Vendita"),COUNTIFS($C$5:C518,C518,$B$5:B518,"Acquisto")+COUNTIFS($C$5:C518,C518,$B$5:B518,"Vendita"),"")</f>
        <v/>
      </c>
      <c r="O518" t="str">
        <f>IF(N518="","",C518&amp;"|"&amp;N518)</f>
        <v/>
      </c>
      <c r="P518" t="str">
        <f>IF(N518="","",IF(N518=1,0,MATCH(C518&amp;"|"&amp;(N518-1),$O$5:$O$1004,0)))</f>
        <v/>
      </c>
      <c r="Q518" t="str">
        <f>IF(N518="","",IF(P518=0,SUMIFS(Calcoli!$C$7:$C$21,Calcoli!$A$7:$A$21,C518),INDEX($S$5:$S$1004,P518)))</f>
        <v/>
      </c>
      <c r="R518" t="str">
        <f>IF(N518="","",IF(P518=0,SUMIFS(Calcoli!$D$7:$D$21,Calcoli!$A$7:$A$21,C518),INDEX($T$5:$T$1004,P518)))</f>
        <v/>
      </c>
      <c r="S518" t="str">
        <f>IF(N518="","",IF(B518="Acquisto",Q518+N(D518),MAX(0,Q518-N(D518))))</f>
        <v/>
      </c>
      <c r="T518" t="str">
        <f>IF(N518="","",IF(B518="Acquisto",R518+J518+N(G518),IF(Q518&lt;=0,0,R518*(1-MIN(1,N(D518)/Q518)))))</f>
        <v/>
      </c>
      <c r="U518" t="str">
        <f>IF(B518&lt;&gt;"Vendita","",J518-N(G518)-IF(Q518&lt;=0,0,R518*MIN(1,N(D518)/Q518)))</f>
        <v/>
      </c>
      <c r="V518" t="str">
        <f>IF(B518&lt;&gt;"Dividendo","",IF(Calcoli!$B$251=1,J518,L518))</f>
        <v/>
      </c>
      <c r="W518" t="str">
        <f>IF(AND(V518&lt;&gt;"",ISNUMBER(A518)),A518,"")</f>
        <v/>
      </c>
    </row>
    <row r="519">
      <c r="A519" s="134" t="n"/>
      <c r="B519" s="116" t="n"/>
      <c r="C519" s="116" t="n"/>
      <c r="D519" s="121" t="n"/>
      <c r="E519" s="120" t="n"/>
      <c r="F519" s="120" t="n"/>
      <c r="G519" s="120" t="n"/>
      <c r="H519" s="120" t="n"/>
      <c r="I519" s="117" t="n"/>
      <c r="J519" s="123" t="str">
        <f>IF(B519="","",IF(F519&lt;&gt;"",N(F519),ROUND(N(D519)*N(E519),2)))</f>
        <v/>
      </c>
      <c r="K519" s="123" t="str">
        <f>IF(B519="","",IF(H519&lt;&gt;"",N(H519),IF(B519="Dividendo",ROUND(J519*IFERROR(INDEX(Calcoli!$V$7:$V$21,MATCH(C519,Calcoli!$A$7:$A$21,0)),0.26),2),IF(B519="Vendita",ROUND(MAX(0,U519)*IFERROR(INDEX(Calcoli!$V$7:$V$21,MATCH(C519,Calcoli!$A$7:$A$21,0)),0.26),2),0))))</f>
        <v/>
      </c>
      <c r="L519" s="135" t="str">
        <f>IF(B519="","",IF(B519="Acquisto",-(J519+N(G519)),J519-N(G519)-K519))</f>
        <v/>
      </c>
      <c r="M519" s="127" t="str">
        <f>IF(B519="","",IF(ISNA(MATCH(C519,ETF!$A$7:$A$21,0)),"ETF?",IF(NOT(ISNUMBER(A519)),"Data?",IF(AND(B519&lt;&gt;"Dividendo",N(D519)&lt;=0),"Quote?",IF(AND(B519="Vendita",N(D519)&gt;N(Q519)+0.000001),"Quote?",IF(J519&lt;=0,"Importo?","✓"))))))</f>
        <v/>
      </c>
      <c r="N519" t="str">
        <f>IF(OR(B519="Acquisto",B519="Vendita"),COUNTIFS($C$5:C519,C519,$B$5:B519,"Acquisto")+COUNTIFS($C$5:C519,C519,$B$5:B519,"Vendita"),"")</f>
        <v/>
      </c>
      <c r="O519" t="str">
        <f>IF(N519="","",C519&amp;"|"&amp;N519)</f>
        <v/>
      </c>
      <c r="P519" t="str">
        <f>IF(N519="","",IF(N519=1,0,MATCH(C519&amp;"|"&amp;(N519-1),$O$5:$O$1004,0)))</f>
        <v/>
      </c>
      <c r="Q519" t="str">
        <f>IF(N519="","",IF(P519=0,SUMIFS(Calcoli!$C$7:$C$21,Calcoli!$A$7:$A$21,C519),INDEX($S$5:$S$1004,P519)))</f>
        <v/>
      </c>
      <c r="R519" t="str">
        <f>IF(N519="","",IF(P519=0,SUMIFS(Calcoli!$D$7:$D$21,Calcoli!$A$7:$A$21,C519),INDEX($T$5:$T$1004,P519)))</f>
        <v/>
      </c>
      <c r="S519" t="str">
        <f>IF(N519="","",IF(B519="Acquisto",Q519+N(D519),MAX(0,Q519-N(D519))))</f>
        <v/>
      </c>
      <c r="T519" t="str">
        <f>IF(N519="","",IF(B519="Acquisto",R519+J519+N(G519),IF(Q519&lt;=0,0,R519*(1-MIN(1,N(D519)/Q519)))))</f>
        <v/>
      </c>
      <c r="U519" t="str">
        <f>IF(B519&lt;&gt;"Vendita","",J519-N(G519)-IF(Q519&lt;=0,0,R519*MIN(1,N(D519)/Q519)))</f>
        <v/>
      </c>
      <c r="V519" t="str">
        <f>IF(B519&lt;&gt;"Dividendo","",IF(Calcoli!$B$251=1,J519,L519))</f>
        <v/>
      </c>
      <c r="W519" t="str">
        <f>IF(AND(V519&lt;&gt;"",ISNUMBER(A519)),A519,"")</f>
        <v/>
      </c>
    </row>
    <row r="520">
      <c r="A520" s="134" t="n"/>
      <c r="B520" s="116" t="n"/>
      <c r="C520" s="116" t="n"/>
      <c r="D520" s="121" t="n"/>
      <c r="E520" s="120" t="n"/>
      <c r="F520" s="120" t="n"/>
      <c r="G520" s="120" t="n"/>
      <c r="H520" s="120" t="n"/>
      <c r="I520" s="117" t="n"/>
      <c r="J520" s="123" t="str">
        <f>IF(B520="","",IF(F520&lt;&gt;"",N(F520),ROUND(N(D520)*N(E520),2)))</f>
        <v/>
      </c>
      <c r="K520" s="123" t="str">
        <f>IF(B520="","",IF(H520&lt;&gt;"",N(H520),IF(B520="Dividendo",ROUND(J520*IFERROR(INDEX(Calcoli!$V$7:$V$21,MATCH(C520,Calcoli!$A$7:$A$21,0)),0.26),2),IF(B520="Vendita",ROUND(MAX(0,U520)*IFERROR(INDEX(Calcoli!$V$7:$V$21,MATCH(C520,Calcoli!$A$7:$A$21,0)),0.26),2),0))))</f>
        <v/>
      </c>
      <c r="L520" s="135" t="str">
        <f>IF(B520="","",IF(B520="Acquisto",-(J520+N(G520)),J520-N(G520)-K520))</f>
        <v/>
      </c>
      <c r="M520" s="127" t="str">
        <f>IF(B520="","",IF(ISNA(MATCH(C520,ETF!$A$7:$A$21,0)),"ETF?",IF(NOT(ISNUMBER(A520)),"Data?",IF(AND(B520&lt;&gt;"Dividendo",N(D520)&lt;=0),"Quote?",IF(AND(B520="Vendita",N(D520)&gt;N(Q520)+0.000001),"Quote?",IF(J520&lt;=0,"Importo?","✓"))))))</f>
        <v/>
      </c>
      <c r="N520" t="str">
        <f>IF(OR(B520="Acquisto",B520="Vendita"),COUNTIFS($C$5:C520,C520,$B$5:B520,"Acquisto")+COUNTIFS($C$5:C520,C520,$B$5:B520,"Vendita"),"")</f>
        <v/>
      </c>
      <c r="O520" t="str">
        <f>IF(N520="","",C520&amp;"|"&amp;N520)</f>
        <v/>
      </c>
      <c r="P520" t="str">
        <f>IF(N520="","",IF(N520=1,0,MATCH(C520&amp;"|"&amp;(N520-1),$O$5:$O$1004,0)))</f>
        <v/>
      </c>
      <c r="Q520" t="str">
        <f>IF(N520="","",IF(P520=0,SUMIFS(Calcoli!$C$7:$C$21,Calcoli!$A$7:$A$21,C520),INDEX($S$5:$S$1004,P520)))</f>
        <v/>
      </c>
      <c r="R520" t="str">
        <f>IF(N520="","",IF(P520=0,SUMIFS(Calcoli!$D$7:$D$21,Calcoli!$A$7:$A$21,C520),INDEX($T$5:$T$1004,P520)))</f>
        <v/>
      </c>
      <c r="S520" t="str">
        <f>IF(N520="","",IF(B520="Acquisto",Q520+N(D520),MAX(0,Q520-N(D520))))</f>
        <v/>
      </c>
      <c r="T520" t="str">
        <f>IF(N520="","",IF(B520="Acquisto",R520+J520+N(G520),IF(Q520&lt;=0,0,R520*(1-MIN(1,N(D520)/Q520)))))</f>
        <v/>
      </c>
      <c r="U520" t="str">
        <f>IF(B520&lt;&gt;"Vendita","",J520-N(G520)-IF(Q520&lt;=0,0,R520*MIN(1,N(D520)/Q520)))</f>
        <v/>
      </c>
      <c r="V520" t="str">
        <f>IF(B520&lt;&gt;"Dividendo","",IF(Calcoli!$B$251=1,J520,L520))</f>
        <v/>
      </c>
      <c r="W520" t="str">
        <f>IF(AND(V520&lt;&gt;"",ISNUMBER(A520)),A520,"")</f>
        <v/>
      </c>
    </row>
    <row r="521">
      <c r="A521" s="134" t="n"/>
      <c r="B521" s="116" t="n"/>
      <c r="C521" s="116" t="n"/>
      <c r="D521" s="121" t="n"/>
      <c r="E521" s="120" t="n"/>
      <c r="F521" s="120" t="n"/>
      <c r="G521" s="120" t="n"/>
      <c r="H521" s="120" t="n"/>
      <c r="I521" s="117" t="n"/>
      <c r="J521" s="123" t="str">
        <f>IF(B521="","",IF(F521&lt;&gt;"",N(F521),ROUND(N(D521)*N(E521),2)))</f>
        <v/>
      </c>
      <c r="K521" s="123" t="str">
        <f>IF(B521="","",IF(H521&lt;&gt;"",N(H521),IF(B521="Dividendo",ROUND(J521*IFERROR(INDEX(Calcoli!$V$7:$V$21,MATCH(C521,Calcoli!$A$7:$A$21,0)),0.26),2),IF(B521="Vendita",ROUND(MAX(0,U521)*IFERROR(INDEX(Calcoli!$V$7:$V$21,MATCH(C521,Calcoli!$A$7:$A$21,0)),0.26),2),0))))</f>
        <v/>
      </c>
      <c r="L521" s="135" t="str">
        <f>IF(B521="","",IF(B521="Acquisto",-(J521+N(G521)),J521-N(G521)-K521))</f>
        <v/>
      </c>
      <c r="M521" s="127" t="str">
        <f>IF(B521="","",IF(ISNA(MATCH(C521,ETF!$A$7:$A$21,0)),"ETF?",IF(NOT(ISNUMBER(A521)),"Data?",IF(AND(B521&lt;&gt;"Dividendo",N(D521)&lt;=0),"Quote?",IF(AND(B521="Vendita",N(D521)&gt;N(Q521)+0.000001),"Quote?",IF(J521&lt;=0,"Importo?","✓"))))))</f>
        <v/>
      </c>
      <c r="N521" t="str">
        <f>IF(OR(B521="Acquisto",B521="Vendita"),COUNTIFS($C$5:C521,C521,$B$5:B521,"Acquisto")+COUNTIFS($C$5:C521,C521,$B$5:B521,"Vendita"),"")</f>
        <v/>
      </c>
      <c r="O521" t="str">
        <f>IF(N521="","",C521&amp;"|"&amp;N521)</f>
        <v/>
      </c>
      <c r="P521" t="str">
        <f>IF(N521="","",IF(N521=1,0,MATCH(C521&amp;"|"&amp;(N521-1),$O$5:$O$1004,0)))</f>
        <v/>
      </c>
      <c r="Q521" t="str">
        <f>IF(N521="","",IF(P521=0,SUMIFS(Calcoli!$C$7:$C$21,Calcoli!$A$7:$A$21,C521),INDEX($S$5:$S$1004,P521)))</f>
        <v/>
      </c>
      <c r="R521" t="str">
        <f>IF(N521="","",IF(P521=0,SUMIFS(Calcoli!$D$7:$D$21,Calcoli!$A$7:$A$21,C521),INDEX($T$5:$T$1004,P521)))</f>
        <v/>
      </c>
      <c r="S521" t="str">
        <f>IF(N521="","",IF(B521="Acquisto",Q521+N(D521),MAX(0,Q521-N(D521))))</f>
        <v/>
      </c>
      <c r="T521" t="str">
        <f>IF(N521="","",IF(B521="Acquisto",R521+J521+N(G521),IF(Q521&lt;=0,0,R521*(1-MIN(1,N(D521)/Q521)))))</f>
        <v/>
      </c>
      <c r="U521" t="str">
        <f>IF(B521&lt;&gt;"Vendita","",J521-N(G521)-IF(Q521&lt;=0,0,R521*MIN(1,N(D521)/Q521)))</f>
        <v/>
      </c>
      <c r="V521" t="str">
        <f>IF(B521&lt;&gt;"Dividendo","",IF(Calcoli!$B$251=1,J521,L521))</f>
        <v/>
      </c>
      <c r="W521" t="str">
        <f>IF(AND(V521&lt;&gt;"",ISNUMBER(A521)),A521,"")</f>
        <v/>
      </c>
    </row>
    <row r="522">
      <c r="A522" s="134" t="n"/>
      <c r="B522" s="116" t="n"/>
      <c r="C522" s="116" t="n"/>
      <c r="D522" s="121" t="n"/>
      <c r="E522" s="120" t="n"/>
      <c r="F522" s="120" t="n"/>
      <c r="G522" s="120" t="n"/>
      <c r="H522" s="120" t="n"/>
      <c r="I522" s="117" t="n"/>
      <c r="J522" s="123" t="str">
        <f>IF(B522="","",IF(F522&lt;&gt;"",N(F522),ROUND(N(D522)*N(E522),2)))</f>
        <v/>
      </c>
      <c r="K522" s="123" t="str">
        <f>IF(B522="","",IF(H522&lt;&gt;"",N(H522),IF(B522="Dividendo",ROUND(J522*IFERROR(INDEX(Calcoli!$V$7:$V$21,MATCH(C522,Calcoli!$A$7:$A$21,0)),0.26),2),IF(B522="Vendita",ROUND(MAX(0,U522)*IFERROR(INDEX(Calcoli!$V$7:$V$21,MATCH(C522,Calcoli!$A$7:$A$21,0)),0.26),2),0))))</f>
        <v/>
      </c>
      <c r="L522" s="135" t="str">
        <f>IF(B522="","",IF(B522="Acquisto",-(J522+N(G522)),J522-N(G522)-K522))</f>
        <v/>
      </c>
      <c r="M522" s="127" t="str">
        <f>IF(B522="","",IF(ISNA(MATCH(C522,ETF!$A$7:$A$21,0)),"ETF?",IF(NOT(ISNUMBER(A522)),"Data?",IF(AND(B522&lt;&gt;"Dividendo",N(D522)&lt;=0),"Quote?",IF(AND(B522="Vendita",N(D522)&gt;N(Q522)+0.000001),"Quote?",IF(J522&lt;=0,"Importo?","✓"))))))</f>
        <v/>
      </c>
      <c r="N522" t="str">
        <f>IF(OR(B522="Acquisto",B522="Vendita"),COUNTIFS($C$5:C522,C522,$B$5:B522,"Acquisto")+COUNTIFS($C$5:C522,C522,$B$5:B522,"Vendita"),"")</f>
        <v/>
      </c>
      <c r="O522" t="str">
        <f>IF(N522="","",C522&amp;"|"&amp;N522)</f>
        <v/>
      </c>
      <c r="P522" t="str">
        <f>IF(N522="","",IF(N522=1,0,MATCH(C522&amp;"|"&amp;(N522-1),$O$5:$O$1004,0)))</f>
        <v/>
      </c>
      <c r="Q522" t="str">
        <f>IF(N522="","",IF(P522=0,SUMIFS(Calcoli!$C$7:$C$21,Calcoli!$A$7:$A$21,C522),INDEX($S$5:$S$1004,P522)))</f>
        <v/>
      </c>
      <c r="R522" t="str">
        <f>IF(N522="","",IF(P522=0,SUMIFS(Calcoli!$D$7:$D$21,Calcoli!$A$7:$A$21,C522),INDEX($T$5:$T$1004,P522)))</f>
        <v/>
      </c>
      <c r="S522" t="str">
        <f>IF(N522="","",IF(B522="Acquisto",Q522+N(D522),MAX(0,Q522-N(D522))))</f>
        <v/>
      </c>
      <c r="T522" t="str">
        <f>IF(N522="","",IF(B522="Acquisto",R522+J522+N(G522),IF(Q522&lt;=0,0,R522*(1-MIN(1,N(D522)/Q522)))))</f>
        <v/>
      </c>
      <c r="U522" t="str">
        <f>IF(B522&lt;&gt;"Vendita","",J522-N(G522)-IF(Q522&lt;=0,0,R522*MIN(1,N(D522)/Q522)))</f>
        <v/>
      </c>
      <c r="V522" t="str">
        <f>IF(B522&lt;&gt;"Dividendo","",IF(Calcoli!$B$251=1,J522,L522))</f>
        <v/>
      </c>
      <c r="W522" t="str">
        <f>IF(AND(V522&lt;&gt;"",ISNUMBER(A522)),A522,"")</f>
        <v/>
      </c>
    </row>
    <row r="523">
      <c r="A523" s="134" t="n"/>
      <c r="B523" s="116" t="n"/>
      <c r="C523" s="116" t="n"/>
      <c r="D523" s="121" t="n"/>
      <c r="E523" s="120" t="n"/>
      <c r="F523" s="120" t="n"/>
      <c r="G523" s="120" t="n"/>
      <c r="H523" s="120" t="n"/>
      <c r="I523" s="117" t="n"/>
      <c r="J523" s="123" t="str">
        <f>IF(B523="","",IF(F523&lt;&gt;"",N(F523),ROUND(N(D523)*N(E523),2)))</f>
        <v/>
      </c>
      <c r="K523" s="123" t="str">
        <f>IF(B523="","",IF(H523&lt;&gt;"",N(H523),IF(B523="Dividendo",ROUND(J523*IFERROR(INDEX(Calcoli!$V$7:$V$21,MATCH(C523,Calcoli!$A$7:$A$21,0)),0.26),2),IF(B523="Vendita",ROUND(MAX(0,U523)*IFERROR(INDEX(Calcoli!$V$7:$V$21,MATCH(C523,Calcoli!$A$7:$A$21,0)),0.26),2),0))))</f>
        <v/>
      </c>
      <c r="L523" s="135" t="str">
        <f>IF(B523="","",IF(B523="Acquisto",-(J523+N(G523)),J523-N(G523)-K523))</f>
        <v/>
      </c>
      <c r="M523" s="127" t="str">
        <f>IF(B523="","",IF(ISNA(MATCH(C523,ETF!$A$7:$A$21,0)),"ETF?",IF(NOT(ISNUMBER(A523)),"Data?",IF(AND(B523&lt;&gt;"Dividendo",N(D523)&lt;=0),"Quote?",IF(AND(B523="Vendita",N(D523)&gt;N(Q523)+0.000001),"Quote?",IF(J523&lt;=0,"Importo?","✓"))))))</f>
        <v/>
      </c>
      <c r="N523" t="str">
        <f>IF(OR(B523="Acquisto",B523="Vendita"),COUNTIFS($C$5:C523,C523,$B$5:B523,"Acquisto")+COUNTIFS($C$5:C523,C523,$B$5:B523,"Vendita"),"")</f>
        <v/>
      </c>
      <c r="O523" t="str">
        <f>IF(N523="","",C523&amp;"|"&amp;N523)</f>
        <v/>
      </c>
      <c r="P523" t="str">
        <f>IF(N523="","",IF(N523=1,0,MATCH(C523&amp;"|"&amp;(N523-1),$O$5:$O$1004,0)))</f>
        <v/>
      </c>
      <c r="Q523" t="str">
        <f>IF(N523="","",IF(P523=0,SUMIFS(Calcoli!$C$7:$C$21,Calcoli!$A$7:$A$21,C523),INDEX($S$5:$S$1004,P523)))</f>
        <v/>
      </c>
      <c r="R523" t="str">
        <f>IF(N523="","",IF(P523=0,SUMIFS(Calcoli!$D$7:$D$21,Calcoli!$A$7:$A$21,C523),INDEX($T$5:$T$1004,P523)))</f>
        <v/>
      </c>
      <c r="S523" t="str">
        <f>IF(N523="","",IF(B523="Acquisto",Q523+N(D523),MAX(0,Q523-N(D523))))</f>
        <v/>
      </c>
      <c r="T523" t="str">
        <f>IF(N523="","",IF(B523="Acquisto",R523+J523+N(G523),IF(Q523&lt;=0,0,R523*(1-MIN(1,N(D523)/Q523)))))</f>
        <v/>
      </c>
      <c r="U523" t="str">
        <f>IF(B523&lt;&gt;"Vendita","",J523-N(G523)-IF(Q523&lt;=0,0,R523*MIN(1,N(D523)/Q523)))</f>
        <v/>
      </c>
      <c r="V523" t="str">
        <f>IF(B523&lt;&gt;"Dividendo","",IF(Calcoli!$B$251=1,J523,L523))</f>
        <v/>
      </c>
      <c r="W523" t="str">
        <f>IF(AND(V523&lt;&gt;"",ISNUMBER(A523)),A523,"")</f>
        <v/>
      </c>
    </row>
    <row r="524">
      <c r="A524" s="134" t="n"/>
      <c r="B524" s="116" t="n"/>
      <c r="C524" s="116" t="n"/>
      <c r="D524" s="121" t="n"/>
      <c r="E524" s="120" t="n"/>
      <c r="F524" s="120" t="n"/>
      <c r="G524" s="120" t="n"/>
      <c r="H524" s="120" t="n"/>
      <c r="I524" s="117" t="n"/>
      <c r="J524" s="123" t="str">
        <f>IF(B524="","",IF(F524&lt;&gt;"",N(F524),ROUND(N(D524)*N(E524),2)))</f>
        <v/>
      </c>
      <c r="K524" s="123" t="str">
        <f>IF(B524="","",IF(H524&lt;&gt;"",N(H524),IF(B524="Dividendo",ROUND(J524*IFERROR(INDEX(Calcoli!$V$7:$V$21,MATCH(C524,Calcoli!$A$7:$A$21,0)),0.26),2),IF(B524="Vendita",ROUND(MAX(0,U524)*IFERROR(INDEX(Calcoli!$V$7:$V$21,MATCH(C524,Calcoli!$A$7:$A$21,0)),0.26),2),0))))</f>
        <v/>
      </c>
      <c r="L524" s="135" t="str">
        <f>IF(B524="","",IF(B524="Acquisto",-(J524+N(G524)),J524-N(G524)-K524))</f>
        <v/>
      </c>
      <c r="M524" s="127" t="str">
        <f>IF(B524="","",IF(ISNA(MATCH(C524,ETF!$A$7:$A$21,0)),"ETF?",IF(NOT(ISNUMBER(A524)),"Data?",IF(AND(B524&lt;&gt;"Dividendo",N(D524)&lt;=0),"Quote?",IF(AND(B524="Vendita",N(D524)&gt;N(Q524)+0.000001),"Quote?",IF(J524&lt;=0,"Importo?","✓"))))))</f>
        <v/>
      </c>
      <c r="N524" t="str">
        <f>IF(OR(B524="Acquisto",B524="Vendita"),COUNTIFS($C$5:C524,C524,$B$5:B524,"Acquisto")+COUNTIFS($C$5:C524,C524,$B$5:B524,"Vendita"),"")</f>
        <v/>
      </c>
      <c r="O524" t="str">
        <f>IF(N524="","",C524&amp;"|"&amp;N524)</f>
        <v/>
      </c>
      <c r="P524" t="str">
        <f>IF(N524="","",IF(N524=1,0,MATCH(C524&amp;"|"&amp;(N524-1),$O$5:$O$1004,0)))</f>
        <v/>
      </c>
      <c r="Q524" t="str">
        <f>IF(N524="","",IF(P524=0,SUMIFS(Calcoli!$C$7:$C$21,Calcoli!$A$7:$A$21,C524),INDEX($S$5:$S$1004,P524)))</f>
        <v/>
      </c>
      <c r="R524" t="str">
        <f>IF(N524="","",IF(P524=0,SUMIFS(Calcoli!$D$7:$D$21,Calcoli!$A$7:$A$21,C524),INDEX($T$5:$T$1004,P524)))</f>
        <v/>
      </c>
      <c r="S524" t="str">
        <f>IF(N524="","",IF(B524="Acquisto",Q524+N(D524),MAX(0,Q524-N(D524))))</f>
        <v/>
      </c>
      <c r="T524" t="str">
        <f>IF(N524="","",IF(B524="Acquisto",R524+J524+N(G524),IF(Q524&lt;=0,0,R524*(1-MIN(1,N(D524)/Q524)))))</f>
        <v/>
      </c>
      <c r="U524" t="str">
        <f>IF(B524&lt;&gt;"Vendita","",J524-N(G524)-IF(Q524&lt;=0,0,R524*MIN(1,N(D524)/Q524)))</f>
        <v/>
      </c>
      <c r="V524" t="str">
        <f>IF(B524&lt;&gt;"Dividendo","",IF(Calcoli!$B$251=1,J524,L524))</f>
        <v/>
      </c>
      <c r="W524" t="str">
        <f>IF(AND(V524&lt;&gt;"",ISNUMBER(A524)),A524,"")</f>
        <v/>
      </c>
    </row>
    <row r="525">
      <c r="A525" s="134" t="n"/>
      <c r="B525" s="116" t="n"/>
      <c r="C525" s="116" t="n"/>
      <c r="D525" s="121" t="n"/>
      <c r="E525" s="120" t="n"/>
      <c r="F525" s="120" t="n"/>
      <c r="G525" s="120" t="n"/>
      <c r="H525" s="120" t="n"/>
      <c r="I525" s="117" t="n"/>
      <c r="J525" s="123" t="str">
        <f>IF(B525="","",IF(F525&lt;&gt;"",N(F525),ROUND(N(D525)*N(E525),2)))</f>
        <v/>
      </c>
      <c r="K525" s="123" t="str">
        <f>IF(B525="","",IF(H525&lt;&gt;"",N(H525),IF(B525="Dividendo",ROUND(J525*IFERROR(INDEX(Calcoli!$V$7:$V$21,MATCH(C525,Calcoli!$A$7:$A$21,0)),0.26),2),IF(B525="Vendita",ROUND(MAX(0,U525)*IFERROR(INDEX(Calcoli!$V$7:$V$21,MATCH(C525,Calcoli!$A$7:$A$21,0)),0.26),2),0))))</f>
        <v/>
      </c>
      <c r="L525" s="135" t="str">
        <f>IF(B525="","",IF(B525="Acquisto",-(J525+N(G525)),J525-N(G525)-K525))</f>
        <v/>
      </c>
      <c r="M525" s="127" t="str">
        <f>IF(B525="","",IF(ISNA(MATCH(C525,ETF!$A$7:$A$21,0)),"ETF?",IF(NOT(ISNUMBER(A525)),"Data?",IF(AND(B525&lt;&gt;"Dividendo",N(D525)&lt;=0),"Quote?",IF(AND(B525="Vendita",N(D525)&gt;N(Q525)+0.000001),"Quote?",IF(J525&lt;=0,"Importo?","✓"))))))</f>
        <v/>
      </c>
      <c r="N525" t="str">
        <f>IF(OR(B525="Acquisto",B525="Vendita"),COUNTIFS($C$5:C525,C525,$B$5:B525,"Acquisto")+COUNTIFS($C$5:C525,C525,$B$5:B525,"Vendita"),"")</f>
        <v/>
      </c>
      <c r="O525" t="str">
        <f>IF(N525="","",C525&amp;"|"&amp;N525)</f>
        <v/>
      </c>
      <c r="P525" t="str">
        <f>IF(N525="","",IF(N525=1,0,MATCH(C525&amp;"|"&amp;(N525-1),$O$5:$O$1004,0)))</f>
        <v/>
      </c>
      <c r="Q525" t="str">
        <f>IF(N525="","",IF(P525=0,SUMIFS(Calcoli!$C$7:$C$21,Calcoli!$A$7:$A$21,C525),INDEX($S$5:$S$1004,P525)))</f>
        <v/>
      </c>
      <c r="R525" t="str">
        <f>IF(N525="","",IF(P525=0,SUMIFS(Calcoli!$D$7:$D$21,Calcoli!$A$7:$A$21,C525),INDEX($T$5:$T$1004,P525)))</f>
        <v/>
      </c>
      <c r="S525" t="str">
        <f>IF(N525="","",IF(B525="Acquisto",Q525+N(D525),MAX(0,Q525-N(D525))))</f>
        <v/>
      </c>
      <c r="T525" t="str">
        <f>IF(N525="","",IF(B525="Acquisto",R525+J525+N(G525),IF(Q525&lt;=0,0,R525*(1-MIN(1,N(D525)/Q525)))))</f>
        <v/>
      </c>
      <c r="U525" t="str">
        <f>IF(B525&lt;&gt;"Vendita","",J525-N(G525)-IF(Q525&lt;=0,0,R525*MIN(1,N(D525)/Q525)))</f>
        <v/>
      </c>
      <c r="V525" t="str">
        <f>IF(B525&lt;&gt;"Dividendo","",IF(Calcoli!$B$251=1,J525,L525))</f>
        <v/>
      </c>
      <c r="W525" t="str">
        <f>IF(AND(V525&lt;&gt;"",ISNUMBER(A525)),A525,"")</f>
        <v/>
      </c>
    </row>
    <row r="526">
      <c r="A526" s="134" t="n"/>
      <c r="B526" s="116" t="n"/>
      <c r="C526" s="116" t="n"/>
      <c r="D526" s="121" t="n"/>
      <c r="E526" s="120" t="n"/>
      <c r="F526" s="120" t="n"/>
      <c r="G526" s="120" t="n"/>
      <c r="H526" s="120" t="n"/>
      <c r="I526" s="117" t="n"/>
      <c r="J526" s="123" t="str">
        <f>IF(B526="","",IF(F526&lt;&gt;"",N(F526),ROUND(N(D526)*N(E526),2)))</f>
        <v/>
      </c>
      <c r="K526" s="123" t="str">
        <f>IF(B526="","",IF(H526&lt;&gt;"",N(H526),IF(B526="Dividendo",ROUND(J526*IFERROR(INDEX(Calcoli!$V$7:$V$21,MATCH(C526,Calcoli!$A$7:$A$21,0)),0.26),2),IF(B526="Vendita",ROUND(MAX(0,U526)*IFERROR(INDEX(Calcoli!$V$7:$V$21,MATCH(C526,Calcoli!$A$7:$A$21,0)),0.26),2),0))))</f>
        <v/>
      </c>
      <c r="L526" s="135" t="str">
        <f>IF(B526="","",IF(B526="Acquisto",-(J526+N(G526)),J526-N(G526)-K526))</f>
        <v/>
      </c>
      <c r="M526" s="127" t="str">
        <f>IF(B526="","",IF(ISNA(MATCH(C526,ETF!$A$7:$A$21,0)),"ETF?",IF(NOT(ISNUMBER(A526)),"Data?",IF(AND(B526&lt;&gt;"Dividendo",N(D526)&lt;=0),"Quote?",IF(AND(B526="Vendita",N(D526)&gt;N(Q526)+0.000001),"Quote?",IF(J526&lt;=0,"Importo?","✓"))))))</f>
        <v/>
      </c>
      <c r="N526" t="str">
        <f>IF(OR(B526="Acquisto",B526="Vendita"),COUNTIFS($C$5:C526,C526,$B$5:B526,"Acquisto")+COUNTIFS($C$5:C526,C526,$B$5:B526,"Vendita"),"")</f>
        <v/>
      </c>
      <c r="O526" t="str">
        <f>IF(N526="","",C526&amp;"|"&amp;N526)</f>
        <v/>
      </c>
      <c r="P526" t="str">
        <f>IF(N526="","",IF(N526=1,0,MATCH(C526&amp;"|"&amp;(N526-1),$O$5:$O$1004,0)))</f>
        <v/>
      </c>
      <c r="Q526" t="str">
        <f>IF(N526="","",IF(P526=0,SUMIFS(Calcoli!$C$7:$C$21,Calcoli!$A$7:$A$21,C526),INDEX($S$5:$S$1004,P526)))</f>
        <v/>
      </c>
      <c r="R526" t="str">
        <f>IF(N526="","",IF(P526=0,SUMIFS(Calcoli!$D$7:$D$21,Calcoli!$A$7:$A$21,C526),INDEX($T$5:$T$1004,P526)))</f>
        <v/>
      </c>
      <c r="S526" t="str">
        <f>IF(N526="","",IF(B526="Acquisto",Q526+N(D526),MAX(0,Q526-N(D526))))</f>
        <v/>
      </c>
      <c r="T526" t="str">
        <f>IF(N526="","",IF(B526="Acquisto",R526+J526+N(G526),IF(Q526&lt;=0,0,R526*(1-MIN(1,N(D526)/Q526)))))</f>
        <v/>
      </c>
      <c r="U526" t="str">
        <f>IF(B526&lt;&gt;"Vendita","",J526-N(G526)-IF(Q526&lt;=0,0,R526*MIN(1,N(D526)/Q526)))</f>
        <v/>
      </c>
      <c r="V526" t="str">
        <f>IF(B526&lt;&gt;"Dividendo","",IF(Calcoli!$B$251=1,J526,L526))</f>
        <v/>
      </c>
      <c r="W526" t="str">
        <f>IF(AND(V526&lt;&gt;"",ISNUMBER(A526)),A526,"")</f>
        <v/>
      </c>
    </row>
    <row r="527">
      <c r="A527" s="134" t="n"/>
      <c r="B527" s="116" t="n"/>
      <c r="C527" s="116" t="n"/>
      <c r="D527" s="121" t="n"/>
      <c r="E527" s="120" t="n"/>
      <c r="F527" s="120" t="n"/>
      <c r="G527" s="120" t="n"/>
      <c r="H527" s="120" t="n"/>
      <c r="I527" s="117" t="n"/>
      <c r="J527" s="123" t="str">
        <f>IF(B527="","",IF(F527&lt;&gt;"",N(F527),ROUND(N(D527)*N(E527),2)))</f>
        <v/>
      </c>
      <c r="K527" s="123" t="str">
        <f>IF(B527="","",IF(H527&lt;&gt;"",N(H527),IF(B527="Dividendo",ROUND(J527*IFERROR(INDEX(Calcoli!$V$7:$V$21,MATCH(C527,Calcoli!$A$7:$A$21,0)),0.26),2),IF(B527="Vendita",ROUND(MAX(0,U527)*IFERROR(INDEX(Calcoli!$V$7:$V$21,MATCH(C527,Calcoli!$A$7:$A$21,0)),0.26),2),0))))</f>
        <v/>
      </c>
      <c r="L527" s="135" t="str">
        <f>IF(B527="","",IF(B527="Acquisto",-(J527+N(G527)),J527-N(G527)-K527))</f>
        <v/>
      </c>
      <c r="M527" s="127" t="str">
        <f>IF(B527="","",IF(ISNA(MATCH(C527,ETF!$A$7:$A$21,0)),"ETF?",IF(NOT(ISNUMBER(A527)),"Data?",IF(AND(B527&lt;&gt;"Dividendo",N(D527)&lt;=0),"Quote?",IF(AND(B527="Vendita",N(D527)&gt;N(Q527)+0.000001),"Quote?",IF(J527&lt;=0,"Importo?","✓"))))))</f>
        <v/>
      </c>
      <c r="N527" t="str">
        <f>IF(OR(B527="Acquisto",B527="Vendita"),COUNTIFS($C$5:C527,C527,$B$5:B527,"Acquisto")+COUNTIFS($C$5:C527,C527,$B$5:B527,"Vendita"),"")</f>
        <v/>
      </c>
      <c r="O527" t="str">
        <f>IF(N527="","",C527&amp;"|"&amp;N527)</f>
        <v/>
      </c>
      <c r="P527" t="str">
        <f>IF(N527="","",IF(N527=1,0,MATCH(C527&amp;"|"&amp;(N527-1),$O$5:$O$1004,0)))</f>
        <v/>
      </c>
      <c r="Q527" t="str">
        <f>IF(N527="","",IF(P527=0,SUMIFS(Calcoli!$C$7:$C$21,Calcoli!$A$7:$A$21,C527),INDEX($S$5:$S$1004,P527)))</f>
        <v/>
      </c>
      <c r="R527" t="str">
        <f>IF(N527="","",IF(P527=0,SUMIFS(Calcoli!$D$7:$D$21,Calcoli!$A$7:$A$21,C527),INDEX($T$5:$T$1004,P527)))</f>
        <v/>
      </c>
      <c r="S527" t="str">
        <f>IF(N527="","",IF(B527="Acquisto",Q527+N(D527),MAX(0,Q527-N(D527))))</f>
        <v/>
      </c>
      <c r="T527" t="str">
        <f>IF(N527="","",IF(B527="Acquisto",R527+J527+N(G527),IF(Q527&lt;=0,0,R527*(1-MIN(1,N(D527)/Q527)))))</f>
        <v/>
      </c>
      <c r="U527" t="str">
        <f>IF(B527&lt;&gt;"Vendita","",J527-N(G527)-IF(Q527&lt;=0,0,R527*MIN(1,N(D527)/Q527)))</f>
        <v/>
      </c>
      <c r="V527" t="str">
        <f>IF(B527&lt;&gt;"Dividendo","",IF(Calcoli!$B$251=1,J527,L527))</f>
        <v/>
      </c>
      <c r="W527" t="str">
        <f>IF(AND(V527&lt;&gt;"",ISNUMBER(A527)),A527,"")</f>
        <v/>
      </c>
    </row>
    <row r="528">
      <c r="A528" s="134" t="n"/>
      <c r="B528" s="116" t="n"/>
      <c r="C528" s="116" t="n"/>
      <c r="D528" s="121" t="n"/>
      <c r="E528" s="120" t="n"/>
      <c r="F528" s="120" t="n"/>
      <c r="G528" s="120" t="n"/>
      <c r="H528" s="120" t="n"/>
      <c r="I528" s="117" t="n"/>
      <c r="J528" s="123" t="str">
        <f>IF(B528="","",IF(F528&lt;&gt;"",N(F528),ROUND(N(D528)*N(E528),2)))</f>
        <v/>
      </c>
      <c r="K528" s="123" t="str">
        <f>IF(B528="","",IF(H528&lt;&gt;"",N(H528),IF(B528="Dividendo",ROUND(J528*IFERROR(INDEX(Calcoli!$V$7:$V$21,MATCH(C528,Calcoli!$A$7:$A$21,0)),0.26),2),IF(B528="Vendita",ROUND(MAX(0,U528)*IFERROR(INDEX(Calcoli!$V$7:$V$21,MATCH(C528,Calcoli!$A$7:$A$21,0)),0.26),2),0))))</f>
        <v/>
      </c>
      <c r="L528" s="135" t="str">
        <f>IF(B528="","",IF(B528="Acquisto",-(J528+N(G528)),J528-N(G528)-K528))</f>
        <v/>
      </c>
      <c r="M528" s="127" t="str">
        <f>IF(B528="","",IF(ISNA(MATCH(C528,ETF!$A$7:$A$21,0)),"ETF?",IF(NOT(ISNUMBER(A528)),"Data?",IF(AND(B528&lt;&gt;"Dividendo",N(D528)&lt;=0),"Quote?",IF(AND(B528="Vendita",N(D528)&gt;N(Q528)+0.000001),"Quote?",IF(J528&lt;=0,"Importo?","✓"))))))</f>
        <v/>
      </c>
      <c r="N528" t="str">
        <f>IF(OR(B528="Acquisto",B528="Vendita"),COUNTIFS($C$5:C528,C528,$B$5:B528,"Acquisto")+COUNTIFS($C$5:C528,C528,$B$5:B528,"Vendita"),"")</f>
        <v/>
      </c>
      <c r="O528" t="str">
        <f>IF(N528="","",C528&amp;"|"&amp;N528)</f>
        <v/>
      </c>
      <c r="P528" t="str">
        <f>IF(N528="","",IF(N528=1,0,MATCH(C528&amp;"|"&amp;(N528-1),$O$5:$O$1004,0)))</f>
        <v/>
      </c>
      <c r="Q528" t="str">
        <f>IF(N528="","",IF(P528=0,SUMIFS(Calcoli!$C$7:$C$21,Calcoli!$A$7:$A$21,C528),INDEX($S$5:$S$1004,P528)))</f>
        <v/>
      </c>
      <c r="R528" t="str">
        <f>IF(N528="","",IF(P528=0,SUMIFS(Calcoli!$D$7:$D$21,Calcoli!$A$7:$A$21,C528),INDEX($T$5:$T$1004,P528)))</f>
        <v/>
      </c>
      <c r="S528" t="str">
        <f>IF(N528="","",IF(B528="Acquisto",Q528+N(D528),MAX(0,Q528-N(D528))))</f>
        <v/>
      </c>
      <c r="T528" t="str">
        <f>IF(N528="","",IF(B528="Acquisto",R528+J528+N(G528),IF(Q528&lt;=0,0,R528*(1-MIN(1,N(D528)/Q528)))))</f>
        <v/>
      </c>
      <c r="U528" t="str">
        <f>IF(B528&lt;&gt;"Vendita","",J528-N(G528)-IF(Q528&lt;=0,0,R528*MIN(1,N(D528)/Q528)))</f>
        <v/>
      </c>
      <c r="V528" t="str">
        <f>IF(B528&lt;&gt;"Dividendo","",IF(Calcoli!$B$251=1,J528,L528))</f>
        <v/>
      </c>
      <c r="W528" t="str">
        <f>IF(AND(V528&lt;&gt;"",ISNUMBER(A528)),A528,"")</f>
        <v/>
      </c>
    </row>
    <row r="529">
      <c r="A529" s="134" t="n"/>
      <c r="B529" s="116" t="n"/>
      <c r="C529" s="116" t="n"/>
      <c r="D529" s="121" t="n"/>
      <c r="E529" s="120" t="n"/>
      <c r="F529" s="120" t="n"/>
      <c r="G529" s="120" t="n"/>
      <c r="H529" s="120" t="n"/>
      <c r="I529" s="117" t="n"/>
      <c r="J529" s="123" t="str">
        <f>IF(B529="","",IF(F529&lt;&gt;"",N(F529),ROUND(N(D529)*N(E529),2)))</f>
        <v/>
      </c>
      <c r="K529" s="123" t="str">
        <f>IF(B529="","",IF(H529&lt;&gt;"",N(H529),IF(B529="Dividendo",ROUND(J529*IFERROR(INDEX(Calcoli!$V$7:$V$21,MATCH(C529,Calcoli!$A$7:$A$21,0)),0.26),2),IF(B529="Vendita",ROUND(MAX(0,U529)*IFERROR(INDEX(Calcoli!$V$7:$V$21,MATCH(C529,Calcoli!$A$7:$A$21,0)),0.26),2),0))))</f>
        <v/>
      </c>
      <c r="L529" s="135" t="str">
        <f>IF(B529="","",IF(B529="Acquisto",-(J529+N(G529)),J529-N(G529)-K529))</f>
        <v/>
      </c>
      <c r="M529" s="127" t="str">
        <f>IF(B529="","",IF(ISNA(MATCH(C529,ETF!$A$7:$A$21,0)),"ETF?",IF(NOT(ISNUMBER(A529)),"Data?",IF(AND(B529&lt;&gt;"Dividendo",N(D529)&lt;=0),"Quote?",IF(AND(B529="Vendita",N(D529)&gt;N(Q529)+0.000001),"Quote?",IF(J529&lt;=0,"Importo?","✓"))))))</f>
        <v/>
      </c>
      <c r="N529" t="str">
        <f>IF(OR(B529="Acquisto",B529="Vendita"),COUNTIFS($C$5:C529,C529,$B$5:B529,"Acquisto")+COUNTIFS($C$5:C529,C529,$B$5:B529,"Vendita"),"")</f>
        <v/>
      </c>
      <c r="O529" t="str">
        <f>IF(N529="","",C529&amp;"|"&amp;N529)</f>
        <v/>
      </c>
      <c r="P529" t="str">
        <f>IF(N529="","",IF(N529=1,0,MATCH(C529&amp;"|"&amp;(N529-1),$O$5:$O$1004,0)))</f>
        <v/>
      </c>
      <c r="Q529" t="str">
        <f>IF(N529="","",IF(P529=0,SUMIFS(Calcoli!$C$7:$C$21,Calcoli!$A$7:$A$21,C529),INDEX($S$5:$S$1004,P529)))</f>
        <v/>
      </c>
      <c r="R529" t="str">
        <f>IF(N529="","",IF(P529=0,SUMIFS(Calcoli!$D$7:$D$21,Calcoli!$A$7:$A$21,C529),INDEX($T$5:$T$1004,P529)))</f>
        <v/>
      </c>
      <c r="S529" t="str">
        <f>IF(N529="","",IF(B529="Acquisto",Q529+N(D529),MAX(0,Q529-N(D529))))</f>
        <v/>
      </c>
      <c r="T529" t="str">
        <f>IF(N529="","",IF(B529="Acquisto",R529+J529+N(G529),IF(Q529&lt;=0,0,R529*(1-MIN(1,N(D529)/Q529)))))</f>
        <v/>
      </c>
      <c r="U529" t="str">
        <f>IF(B529&lt;&gt;"Vendita","",J529-N(G529)-IF(Q529&lt;=0,0,R529*MIN(1,N(D529)/Q529)))</f>
        <v/>
      </c>
      <c r="V529" t="str">
        <f>IF(B529&lt;&gt;"Dividendo","",IF(Calcoli!$B$251=1,J529,L529))</f>
        <v/>
      </c>
      <c r="W529" t="str">
        <f>IF(AND(V529&lt;&gt;"",ISNUMBER(A529)),A529,"")</f>
        <v/>
      </c>
    </row>
    <row r="530">
      <c r="A530" s="134" t="n"/>
      <c r="B530" s="116" t="n"/>
      <c r="C530" s="116" t="n"/>
      <c r="D530" s="121" t="n"/>
      <c r="E530" s="120" t="n"/>
      <c r="F530" s="120" t="n"/>
      <c r="G530" s="120" t="n"/>
      <c r="H530" s="120" t="n"/>
      <c r="I530" s="117" t="n"/>
      <c r="J530" s="123" t="str">
        <f>IF(B530="","",IF(F530&lt;&gt;"",N(F530),ROUND(N(D530)*N(E530),2)))</f>
        <v/>
      </c>
      <c r="K530" s="123" t="str">
        <f>IF(B530="","",IF(H530&lt;&gt;"",N(H530),IF(B530="Dividendo",ROUND(J530*IFERROR(INDEX(Calcoli!$V$7:$V$21,MATCH(C530,Calcoli!$A$7:$A$21,0)),0.26),2),IF(B530="Vendita",ROUND(MAX(0,U530)*IFERROR(INDEX(Calcoli!$V$7:$V$21,MATCH(C530,Calcoli!$A$7:$A$21,0)),0.26),2),0))))</f>
        <v/>
      </c>
      <c r="L530" s="135" t="str">
        <f>IF(B530="","",IF(B530="Acquisto",-(J530+N(G530)),J530-N(G530)-K530))</f>
        <v/>
      </c>
      <c r="M530" s="127" t="str">
        <f>IF(B530="","",IF(ISNA(MATCH(C530,ETF!$A$7:$A$21,0)),"ETF?",IF(NOT(ISNUMBER(A530)),"Data?",IF(AND(B530&lt;&gt;"Dividendo",N(D530)&lt;=0),"Quote?",IF(AND(B530="Vendita",N(D530)&gt;N(Q530)+0.000001),"Quote?",IF(J530&lt;=0,"Importo?","✓"))))))</f>
        <v/>
      </c>
      <c r="N530" t="str">
        <f>IF(OR(B530="Acquisto",B530="Vendita"),COUNTIFS($C$5:C530,C530,$B$5:B530,"Acquisto")+COUNTIFS($C$5:C530,C530,$B$5:B530,"Vendita"),"")</f>
        <v/>
      </c>
      <c r="O530" t="str">
        <f>IF(N530="","",C530&amp;"|"&amp;N530)</f>
        <v/>
      </c>
      <c r="P530" t="str">
        <f>IF(N530="","",IF(N530=1,0,MATCH(C530&amp;"|"&amp;(N530-1),$O$5:$O$1004,0)))</f>
        <v/>
      </c>
      <c r="Q530" t="str">
        <f>IF(N530="","",IF(P530=0,SUMIFS(Calcoli!$C$7:$C$21,Calcoli!$A$7:$A$21,C530),INDEX($S$5:$S$1004,P530)))</f>
        <v/>
      </c>
      <c r="R530" t="str">
        <f>IF(N530="","",IF(P530=0,SUMIFS(Calcoli!$D$7:$D$21,Calcoli!$A$7:$A$21,C530),INDEX($T$5:$T$1004,P530)))</f>
        <v/>
      </c>
      <c r="S530" t="str">
        <f>IF(N530="","",IF(B530="Acquisto",Q530+N(D530),MAX(0,Q530-N(D530))))</f>
        <v/>
      </c>
      <c r="T530" t="str">
        <f>IF(N530="","",IF(B530="Acquisto",R530+J530+N(G530),IF(Q530&lt;=0,0,R530*(1-MIN(1,N(D530)/Q530)))))</f>
        <v/>
      </c>
      <c r="U530" t="str">
        <f>IF(B530&lt;&gt;"Vendita","",J530-N(G530)-IF(Q530&lt;=0,0,R530*MIN(1,N(D530)/Q530)))</f>
        <v/>
      </c>
      <c r="V530" t="str">
        <f>IF(B530&lt;&gt;"Dividendo","",IF(Calcoli!$B$251=1,J530,L530))</f>
        <v/>
      </c>
      <c r="W530" t="str">
        <f>IF(AND(V530&lt;&gt;"",ISNUMBER(A530)),A530,"")</f>
        <v/>
      </c>
    </row>
    <row r="531">
      <c r="A531" s="134" t="n"/>
      <c r="B531" s="116" t="n"/>
      <c r="C531" s="116" t="n"/>
      <c r="D531" s="121" t="n"/>
      <c r="E531" s="120" t="n"/>
      <c r="F531" s="120" t="n"/>
      <c r="G531" s="120" t="n"/>
      <c r="H531" s="120" t="n"/>
      <c r="I531" s="117" t="n"/>
      <c r="J531" s="123" t="str">
        <f>IF(B531="","",IF(F531&lt;&gt;"",N(F531),ROUND(N(D531)*N(E531),2)))</f>
        <v/>
      </c>
      <c r="K531" s="123" t="str">
        <f>IF(B531="","",IF(H531&lt;&gt;"",N(H531),IF(B531="Dividendo",ROUND(J531*IFERROR(INDEX(Calcoli!$V$7:$V$21,MATCH(C531,Calcoli!$A$7:$A$21,0)),0.26),2),IF(B531="Vendita",ROUND(MAX(0,U531)*IFERROR(INDEX(Calcoli!$V$7:$V$21,MATCH(C531,Calcoli!$A$7:$A$21,0)),0.26),2),0))))</f>
        <v/>
      </c>
      <c r="L531" s="135" t="str">
        <f>IF(B531="","",IF(B531="Acquisto",-(J531+N(G531)),J531-N(G531)-K531))</f>
        <v/>
      </c>
      <c r="M531" s="127" t="str">
        <f>IF(B531="","",IF(ISNA(MATCH(C531,ETF!$A$7:$A$21,0)),"ETF?",IF(NOT(ISNUMBER(A531)),"Data?",IF(AND(B531&lt;&gt;"Dividendo",N(D531)&lt;=0),"Quote?",IF(AND(B531="Vendita",N(D531)&gt;N(Q531)+0.000001),"Quote?",IF(J531&lt;=0,"Importo?","✓"))))))</f>
        <v/>
      </c>
      <c r="N531" t="str">
        <f>IF(OR(B531="Acquisto",B531="Vendita"),COUNTIFS($C$5:C531,C531,$B$5:B531,"Acquisto")+COUNTIFS($C$5:C531,C531,$B$5:B531,"Vendita"),"")</f>
        <v/>
      </c>
      <c r="O531" t="str">
        <f>IF(N531="","",C531&amp;"|"&amp;N531)</f>
        <v/>
      </c>
      <c r="P531" t="str">
        <f>IF(N531="","",IF(N531=1,0,MATCH(C531&amp;"|"&amp;(N531-1),$O$5:$O$1004,0)))</f>
        <v/>
      </c>
      <c r="Q531" t="str">
        <f>IF(N531="","",IF(P531=0,SUMIFS(Calcoli!$C$7:$C$21,Calcoli!$A$7:$A$21,C531),INDEX($S$5:$S$1004,P531)))</f>
        <v/>
      </c>
      <c r="R531" t="str">
        <f>IF(N531="","",IF(P531=0,SUMIFS(Calcoli!$D$7:$D$21,Calcoli!$A$7:$A$21,C531),INDEX($T$5:$T$1004,P531)))</f>
        <v/>
      </c>
      <c r="S531" t="str">
        <f>IF(N531="","",IF(B531="Acquisto",Q531+N(D531),MAX(0,Q531-N(D531))))</f>
        <v/>
      </c>
      <c r="T531" t="str">
        <f>IF(N531="","",IF(B531="Acquisto",R531+J531+N(G531),IF(Q531&lt;=0,0,R531*(1-MIN(1,N(D531)/Q531)))))</f>
        <v/>
      </c>
      <c r="U531" t="str">
        <f>IF(B531&lt;&gt;"Vendita","",J531-N(G531)-IF(Q531&lt;=0,0,R531*MIN(1,N(D531)/Q531)))</f>
        <v/>
      </c>
      <c r="V531" t="str">
        <f>IF(B531&lt;&gt;"Dividendo","",IF(Calcoli!$B$251=1,J531,L531))</f>
        <v/>
      </c>
      <c r="W531" t="str">
        <f>IF(AND(V531&lt;&gt;"",ISNUMBER(A531)),A531,"")</f>
        <v/>
      </c>
    </row>
    <row r="532">
      <c r="A532" s="134" t="n"/>
      <c r="B532" s="116" t="n"/>
      <c r="C532" s="116" t="n"/>
      <c r="D532" s="121" t="n"/>
      <c r="E532" s="120" t="n"/>
      <c r="F532" s="120" t="n"/>
      <c r="G532" s="120" t="n"/>
      <c r="H532" s="120" t="n"/>
      <c r="I532" s="117" t="n"/>
      <c r="J532" s="123" t="str">
        <f>IF(B532="","",IF(F532&lt;&gt;"",N(F532),ROUND(N(D532)*N(E532),2)))</f>
        <v/>
      </c>
      <c r="K532" s="123" t="str">
        <f>IF(B532="","",IF(H532&lt;&gt;"",N(H532),IF(B532="Dividendo",ROUND(J532*IFERROR(INDEX(Calcoli!$V$7:$V$21,MATCH(C532,Calcoli!$A$7:$A$21,0)),0.26),2),IF(B532="Vendita",ROUND(MAX(0,U532)*IFERROR(INDEX(Calcoli!$V$7:$V$21,MATCH(C532,Calcoli!$A$7:$A$21,0)),0.26),2),0))))</f>
        <v/>
      </c>
      <c r="L532" s="135" t="str">
        <f>IF(B532="","",IF(B532="Acquisto",-(J532+N(G532)),J532-N(G532)-K532))</f>
        <v/>
      </c>
      <c r="M532" s="127" t="str">
        <f>IF(B532="","",IF(ISNA(MATCH(C532,ETF!$A$7:$A$21,0)),"ETF?",IF(NOT(ISNUMBER(A532)),"Data?",IF(AND(B532&lt;&gt;"Dividendo",N(D532)&lt;=0),"Quote?",IF(AND(B532="Vendita",N(D532)&gt;N(Q532)+0.000001),"Quote?",IF(J532&lt;=0,"Importo?","✓"))))))</f>
        <v/>
      </c>
      <c r="N532" t="str">
        <f>IF(OR(B532="Acquisto",B532="Vendita"),COUNTIFS($C$5:C532,C532,$B$5:B532,"Acquisto")+COUNTIFS($C$5:C532,C532,$B$5:B532,"Vendita"),"")</f>
        <v/>
      </c>
      <c r="O532" t="str">
        <f>IF(N532="","",C532&amp;"|"&amp;N532)</f>
        <v/>
      </c>
      <c r="P532" t="str">
        <f>IF(N532="","",IF(N532=1,0,MATCH(C532&amp;"|"&amp;(N532-1),$O$5:$O$1004,0)))</f>
        <v/>
      </c>
      <c r="Q532" t="str">
        <f>IF(N532="","",IF(P532=0,SUMIFS(Calcoli!$C$7:$C$21,Calcoli!$A$7:$A$21,C532),INDEX($S$5:$S$1004,P532)))</f>
        <v/>
      </c>
      <c r="R532" t="str">
        <f>IF(N532="","",IF(P532=0,SUMIFS(Calcoli!$D$7:$D$21,Calcoli!$A$7:$A$21,C532),INDEX($T$5:$T$1004,P532)))</f>
        <v/>
      </c>
      <c r="S532" t="str">
        <f>IF(N532="","",IF(B532="Acquisto",Q532+N(D532),MAX(0,Q532-N(D532))))</f>
        <v/>
      </c>
      <c r="T532" t="str">
        <f>IF(N532="","",IF(B532="Acquisto",R532+J532+N(G532),IF(Q532&lt;=0,0,R532*(1-MIN(1,N(D532)/Q532)))))</f>
        <v/>
      </c>
      <c r="U532" t="str">
        <f>IF(B532&lt;&gt;"Vendita","",J532-N(G532)-IF(Q532&lt;=0,0,R532*MIN(1,N(D532)/Q532)))</f>
        <v/>
      </c>
      <c r="V532" t="str">
        <f>IF(B532&lt;&gt;"Dividendo","",IF(Calcoli!$B$251=1,J532,L532))</f>
        <v/>
      </c>
      <c r="W532" t="str">
        <f>IF(AND(V532&lt;&gt;"",ISNUMBER(A532)),A532,"")</f>
        <v/>
      </c>
    </row>
    <row r="533">
      <c r="A533" s="134" t="n"/>
      <c r="B533" s="116" t="n"/>
      <c r="C533" s="116" t="n"/>
      <c r="D533" s="121" t="n"/>
      <c r="E533" s="120" t="n"/>
      <c r="F533" s="120" t="n"/>
      <c r="G533" s="120" t="n"/>
      <c r="H533" s="120" t="n"/>
      <c r="I533" s="117" t="n"/>
      <c r="J533" s="123" t="str">
        <f>IF(B533="","",IF(F533&lt;&gt;"",N(F533),ROUND(N(D533)*N(E533),2)))</f>
        <v/>
      </c>
      <c r="K533" s="123" t="str">
        <f>IF(B533="","",IF(H533&lt;&gt;"",N(H533),IF(B533="Dividendo",ROUND(J533*IFERROR(INDEX(Calcoli!$V$7:$V$21,MATCH(C533,Calcoli!$A$7:$A$21,0)),0.26),2),IF(B533="Vendita",ROUND(MAX(0,U533)*IFERROR(INDEX(Calcoli!$V$7:$V$21,MATCH(C533,Calcoli!$A$7:$A$21,0)),0.26),2),0))))</f>
        <v/>
      </c>
      <c r="L533" s="135" t="str">
        <f>IF(B533="","",IF(B533="Acquisto",-(J533+N(G533)),J533-N(G533)-K533))</f>
        <v/>
      </c>
      <c r="M533" s="127" t="str">
        <f>IF(B533="","",IF(ISNA(MATCH(C533,ETF!$A$7:$A$21,0)),"ETF?",IF(NOT(ISNUMBER(A533)),"Data?",IF(AND(B533&lt;&gt;"Dividendo",N(D533)&lt;=0),"Quote?",IF(AND(B533="Vendita",N(D533)&gt;N(Q533)+0.000001),"Quote?",IF(J533&lt;=0,"Importo?","✓"))))))</f>
        <v/>
      </c>
      <c r="N533" t="str">
        <f>IF(OR(B533="Acquisto",B533="Vendita"),COUNTIFS($C$5:C533,C533,$B$5:B533,"Acquisto")+COUNTIFS($C$5:C533,C533,$B$5:B533,"Vendita"),"")</f>
        <v/>
      </c>
      <c r="O533" t="str">
        <f>IF(N533="","",C533&amp;"|"&amp;N533)</f>
        <v/>
      </c>
      <c r="P533" t="str">
        <f>IF(N533="","",IF(N533=1,0,MATCH(C533&amp;"|"&amp;(N533-1),$O$5:$O$1004,0)))</f>
        <v/>
      </c>
      <c r="Q533" t="str">
        <f>IF(N533="","",IF(P533=0,SUMIFS(Calcoli!$C$7:$C$21,Calcoli!$A$7:$A$21,C533),INDEX($S$5:$S$1004,P533)))</f>
        <v/>
      </c>
      <c r="R533" t="str">
        <f>IF(N533="","",IF(P533=0,SUMIFS(Calcoli!$D$7:$D$21,Calcoli!$A$7:$A$21,C533),INDEX($T$5:$T$1004,P533)))</f>
        <v/>
      </c>
      <c r="S533" t="str">
        <f>IF(N533="","",IF(B533="Acquisto",Q533+N(D533),MAX(0,Q533-N(D533))))</f>
        <v/>
      </c>
      <c r="T533" t="str">
        <f>IF(N533="","",IF(B533="Acquisto",R533+J533+N(G533),IF(Q533&lt;=0,0,R533*(1-MIN(1,N(D533)/Q533)))))</f>
        <v/>
      </c>
      <c r="U533" t="str">
        <f>IF(B533&lt;&gt;"Vendita","",J533-N(G533)-IF(Q533&lt;=0,0,R533*MIN(1,N(D533)/Q533)))</f>
        <v/>
      </c>
      <c r="V533" t="str">
        <f>IF(B533&lt;&gt;"Dividendo","",IF(Calcoli!$B$251=1,J533,L533))</f>
        <v/>
      </c>
      <c r="W533" t="str">
        <f>IF(AND(V533&lt;&gt;"",ISNUMBER(A533)),A533,"")</f>
        <v/>
      </c>
    </row>
    <row r="534">
      <c r="A534" s="134" t="n"/>
      <c r="B534" s="116" t="n"/>
      <c r="C534" s="116" t="n"/>
      <c r="D534" s="121" t="n"/>
      <c r="E534" s="120" t="n"/>
      <c r="F534" s="120" t="n"/>
      <c r="G534" s="120" t="n"/>
      <c r="H534" s="120" t="n"/>
      <c r="I534" s="117" t="n"/>
      <c r="J534" s="123" t="str">
        <f>IF(B534="","",IF(F534&lt;&gt;"",N(F534),ROUND(N(D534)*N(E534),2)))</f>
        <v/>
      </c>
      <c r="K534" s="123" t="str">
        <f>IF(B534="","",IF(H534&lt;&gt;"",N(H534),IF(B534="Dividendo",ROUND(J534*IFERROR(INDEX(Calcoli!$V$7:$V$21,MATCH(C534,Calcoli!$A$7:$A$21,0)),0.26),2),IF(B534="Vendita",ROUND(MAX(0,U534)*IFERROR(INDEX(Calcoli!$V$7:$V$21,MATCH(C534,Calcoli!$A$7:$A$21,0)),0.26),2),0))))</f>
        <v/>
      </c>
      <c r="L534" s="135" t="str">
        <f>IF(B534="","",IF(B534="Acquisto",-(J534+N(G534)),J534-N(G534)-K534))</f>
        <v/>
      </c>
      <c r="M534" s="127" t="str">
        <f>IF(B534="","",IF(ISNA(MATCH(C534,ETF!$A$7:$A$21,0)),"ETF?",IF(NOT(ISNUMBER(A534)),"Data?",IF(AND(B534&lt;&gt;"Dividendo",N(D534)&lt;=0),"Quote?",IF(AND(B534="Vendita",N(D534)&gt;N(Q534)+0.000001),"Quote?",IF(J534&lt;=0,"Importo?","✓"))))))</f>
        <v/>
      </c>
      <c r="N534" t="str">
        <f>IF(OR(B534="Acquisto",B534="Vendita"),COUNTIFS($C$5:C534,C534,$B$5:B534,"Acquisto")+COUNTIFS($C$5:C534,C534,$B$5:B534,"Vendita"),"")</f>
        <v/>
      </c>
      <c r="O534" t="str">
        <f>IF(N534="","",C534&amp;"|"&amp;N534)</f>
        <v/>
      </c>
      <c r="P534" t="str">
        <f>IF(N534="","",IF(N534=1,0,MATCH(C534&amp;"|"&amp;(N534-1),$O$5:$O$1004,0)))</f>
        <v/>
      </c>
      <c r="Q534" t="str">
        <f>IF(N534="","",IF(P534=0,SUMIFS(Calcoli!$C$7:$C$21,Calcoli!$A$7:$A$21,C534),INDEX($S$5:$S$1004,P534)))</f>
        <v/>
      </c>
      <c r="R534" t="str">
        <f>IF(N534="","",IF(P534=0,SUMIFS(Calcoli!$D$7:$D$21,Calcoli!$A$7:$A$21,C534),INDEX($T$5:$T$1004,P534)))</f>
        <v/>
      </c>
      <c r="S534" t="str">
        <f>IF(N534="","",IF(B534="Acquisto",Q534+N(D534),MAX(0,Q534-N(D534))))</f>
        <v/>
      </c>
      <c r="T534" t="str">
        <f>IF(N534="","",IF(B534="Acquisto",R534+J534+N(G534),IF(Q534&lt;=0,0,R534*(1-MIN(1,N(D534)/Q534)))))</f>
        <v/>
      </c>
      <c r="U534" t="str">
        <f>IF(B534&lt;&gt;"Vendita","",J534-N(G534)-IF(Q534&lt;=0,0,R534*MIN(1,N(D534)/Q534)))</f>
        <v/>
      </c>
      <c r="V534" t="str">
        <f>IF(B534&lt;&gt;"Dividendo","",IF(Calcoli!$B$251=1,J534,L534))</f>
        <v/>
      </c>
      <c r="W534" t="str">
        <f>IF(AND(V534&lt;&gt;"",ISNUMBER(A534)),A534,"")</f>
        <v/>
      </c>
    </row>
    <row r="535">
      <c r="A535" s="134" t="n"/>
      <c r="B535" s="116" t="n"/>
      <c r="C535" s="116" t="n"/>
      <c r="D535" s="121" t="n"/>
      <c r="E535" s="120" t="n"/>
      <c r="F535" s="120" t="n"/>
      <c r="G535" s="120" t="n"/>
      <c r="H535" s="120" t="n"/>
      <c r="I535" s="117" t="n"/>
      <c r="J535" s="123" t="str">
        <f>IF(B535="","",IF(F535&lt;&gt;"",N(F535),ROUND(N(D535)*N(E535),2)))</f>
        <v/>
      </c>
      <c r="K535" s="123" t="str">
        <f>IF(B535="","",IF(H535&lt;&gt;"",N(H535),IF(B535="Dividendo",ROUND(J535*IFERROR(INDEX(Calcoli!$V$7:$V$21,MATCH(C535,Calcoli!$A$7:$A$21,0)),0.26),2),IF(B535="Vendita",ROUND(MAX(0,U535)*IFERROR(INDEX(Calcoli!$V$7:$V$21,MATCH(C535,Calcoli!$A$7:$A$21,0)),0.26),2),0))))</f>
        <v/>
      </c>
      <c r="L535" s="135" t="str">
        <f>IF(B535="","",IF(B535="Acquisto",-(J535+N(G535)),J535-N(G535)-K535))</f>
        <v/>
      </c>
      <c r="M535" s="127" t="str">
        <f>IF(B535="","",IF(ISNA(MATCH(C535,ETF!$A$7:$A$21,0)),"ETF?",IF(NOT(ISNUMBER(A535)),"Data?",IF(AND(B535&lt;&gt;"Dividendo",N(D535)&lt;=0),"Quote?",IF(AND(B535="Vendita",N(D535)&gt;N(Q535)+0.000001),"Quote?",IF(J535&lt;=0,"Importo?","✓"))))))</f>
        <v/>
      </c>
      <c r="N535" t="str">
        <f>IF(OR(B535="Acquisto",B535="Vendita"),COUNTIFS($C$5:C535,C535,$B$5:B535,"Acquisto")+COUNTIFS($C$5:C535,C535,$B$5:B535,"Vendita"),"")</f>
        <v/>
      </c>
      <c r="O535" t="str">
        <f>IF(N535="","",C535&amp;"|"&amp;N535)</f>
        <v/>
      </c>
      <c r="P535" t="str">
        <f>IF(N535="","",IF(N535=1,0,MATCH(C535&amp;"|"&amp;(N535-1),$O$5:$O$1004,0)))</f>
        <v/>
      </c>
      <c r="Q535" t="str">
        <f>IF(N535="","",IF(P535=0,SUMIFS(Calcoli!$C$7:$C$21,Calcoli!$A$7:$A$21,C535),INDEX($S$5:$S$1004,P535)))</f>
        <v/>
      </c>
      <c r="R535" t="str">
        <f>IF(N535="","",IF(P535=0,SUMIFS(Calcoli!$D$7:$D$21,Calcoli!$A$7:$A$21,C535),INDEX($T$5:$T$1004,P535)))</f>
        <v/>
      </c>
      <c r="S535" t="str">
        <f>IF(N535="","",IF(B535="Acquisto",Q535+N(D535),MAX(0,Q535-N(D535))))</f>
        <v/>
      </c>
      <c r="T535" t="str">
        <f>IF(N535="","",IF(B535="Acquisto",R535+J535+N(G535),IF(Q535&lt;=0,0,R535*(1-MIN(1,N(D535)/Q535)))))</f>
        <v/>
      </c>
      <c r="U535" t="str">
        <f>IF(B535&lt;&gt;"Vendita","",J535-N(G535)-IF(Q535&lt;=0,0,R535*MIN(1,N(D535)/Q535)))</f>
        <v/>
      </c>
      <c r="V535" t="str">
        <f>IF(B535&lt;&gt;"Dividendo","",IF(Calcoli!$B$251=1,J535,L535))</f>
        <v/>
      </c>
      <c r="W535" t="str">
        <f>IF(AND(V535&lt;&gt;"",ISNUMBER(A535)),A535,"")</f>
        <v/>
      </c>
    </row>
    <row r="536">
      <c r="A536" s="134" t="n"/>
      <c r="B536" s="116" t="n"/>
      <c r="C536" s="116" t="n"/>
      <c r="D536" s="121" t="n"/>
      <c r="E536" s="120" t="n"/>
      <c r="F536" s="120" t="n"/>
      <c r="G536" s="120" t="n"/>
      <c r="H536" s="120" t="n"/>
      <c r="I536" s="117" t="n"/>
      <c r="J536" s="123" t="str">
        <f>IF(B536="","",IF(F536&lt;&gt;"",N(F536),ROUND(N(D536)*N(E536),2)))</f>
        <v/>
      </c>
      <c r="K536" s="123" t="str">
        <f>IF(B536="","",IF(H536&lt;&gt;"",N(H536),IF(B536="Dividendo",ROUND(J536*IFERROR(INDEX(Calcoli!$V$7:$V$21,MATCH(C536,Calcoli!$A$7:$A$21,0)),0.26),2),IF(B536="Vendita",ROUND(MAX(0,U536)*IFERROR(INDEX(Calcoli!$V$7:$V$21,MATCH(C536,Calcoli!$A$7:$A$21,0)),0.26),2),0))))</f>
        <v/>
      </c>
      <c r="L536" s="135" t="str">
        <f>IF(B536="","",IF(B536="Acquisto",-(J536+N(G536)),J536-N(G536)-K536))</f>
        <v/>
      </c>
      <c r="M536" s="127" t="str">
        <f>IF(B536="","",IF(ISNA(MATCH(C536,ETF!$A$7:$A$21,0)),"ETF?",IF(NOT(ISNUMBER(A536)),"Data?",IF(AND(B536&lt;&gt;"Dividendo",N(D536)&lt;=0),"Quote?",IF(AND(B536="Vendita",N(D536)&gt;N(Q536)+0.000001),"Quote?",IF(J536&lt;=0,"Importo?","✓"))))))</f>
        <v/>
      </c>
      <c r="N536" t="str">
        <f>IF(OR(B536="Acquisto",B536="Vendita"),COUNTIFS($C$5:C536,C536,$B$5:B536,"Acquisto")+COUNTIFS($C$5:C536,C536,$B$5:B536,"Vendita"),"")</f>
        <v/>
      </c>
      <c r="O536" t="str">
        <f>IF(N536="","",C536&amp;"|"&amp;N536)</f>
        <v/>
      </c>
      <c r="P536" t="str">
        <f>IF(N536="","",IF(N536=1,0,MATCH(C536&amp;"|"&amp;(N536-1),$O$5:$O$1004,0)))</f>
        <v/>
      </c>
      <c r="Q536" t="str">
        <f>IF(N536="","",IF(P536=0,SUMIFS(Calcoli!$C$7:$C$21,Calcoli!$A$7:$A$21,C536),INDEX($S$5:$S$1004,P536)))</f>
        <v/>
      </c>
      <c r="R536" t="str">
        <f>IF(N536="","",IF(P536=0,SUMIFS(Calcoli!$D$7:$D$21,Calcoli!$A$7:$A$21,C536),INDEX($T$5:$T$1004,P536)))</f>
        <v/>
      </c>
      <c r="S536" t="str">
        <f>IF(N536="","",IF(B536="Acquisto",Q536+N(D536),MAX(0,Q536-N(D536))))</f>
        <v/>
      </c>
      <c r="T536" t="str">
        <f>IF(N536="","",IF(B536="Acquisto",R536+J536+N(G536),IF(Q536&lt;=0,0,R536*(1-MIN(1,N(D536)/Q536)))))</f>
        <v/>
      </c>
      <c r="U536" t="str">
        <f>IF(B536&lt;&gt;"Vendita","",J536-N(G536)-IF(Q536&lt;=0,0,R536*MIN(1,N(D536)/Q536)))</f>
        <v/>
      </c>
      <c r="V536" t="str">
        <f>IF(B536&lt;&gt;"Dividendo","",IF(Calcoli!$B$251=1,J536,L536))</f>
        <v/>
      </c>
      <c r="W536" t="str">
        <f>IF(AND(V536&lt;&gt;"",ISNUMBER(A536)),A536,"")</f>
        <v/>
      </c>
    </row>
    <row r="537">
      <c r="A537" s="134" t="n"/>
      <c r="B537" s="116" t="n"/>
      <c r="C537" s="116" t="n"/>
      <c r="D537" s="121" t="n"/>
      <c r="E537" s="120" t="n"/>
      <c r="F537" s="120" t="n"/>
      <c r="G537" s="120" t="n"/>
      <c r="H537" s="120" t="n"/>
      <c r="I537" s="117" t="n"/>
      <c r="J537" s="123" t="str">
        <f>IF(B537="","",IF(F537&lt;&gt;"",N(F537),ROUND(N(D537)*N(E537),2)))</f>
        <v/>
      </c>
      <c r="K537" s="123" t="str">
        <f>IF(B537="","",IF(H537&lt;&gt;"",N(H537),IF(B537="Dividendo",ROUND(J537*IFERROR(INDEX(Calcoli!$V$7:$V$21,MATCH(C537,Calcoli!$A$7:$A$21,0)),0.26),2),IF(B537="Vendita",ROUND(MAX(0,U537)*IFERROR(INDEX(Calcoli!$V$7:$V$21,MATCH(C537,Calcoli!$A$7:$A$21,0)),0.26),2),0))))</f>
        <v/>
      </c>
      <c r="L537" s="135" t="str">
        <f>IF(B537="","",IF(B537="Acquisto",-(J537+N(G537)),J537-N(G537)-K537))</f>
        <v/>
      </c>
      <c r="M537" s="127" t="str">
        <f>IF(B537="","",IF(ISNA(MATCH(C537,ETF!$A$7:$A$21,0)),"ETF?",IF(NOT(ISNUMBER(A537)),"Data?",IF(AND(B537&lt;&gt;"Dividendo",N(D537)&lt;=0),"Quote?",IF(AND(B537="Vendita",N(D537)&gt;N(Q537)+0.000001),"Quote?",IF(J537&lt;=0,"Importo?","✓"))))))</f>
        <v/>
      </c>
      <c r="N537" t="str">
        <f>IF(OR(B537="Acquisto",B537="Vendita"),COUNTIFS($C$5:C537,C537,$B$5:B537,"Acquisto")+COUNTIFS($C$5:C537,C537,$B$5:B537,"Vendita"),"")</f>
        <v/>
      </c>
      <c r="O537" t="str">
        <f>IF(N537="","",C537&amp;"|"&amp;N537)</f>
        <v/>
      </c>
      <c r="P537" t="str">
        <f>IF(N537="","",IF(N537=1,0,MATCH(C537&amp;"|"&amp;(N537-1),$O$5:$O$1004,0)))</f>
        <v/>
      </c>
      <c r="Q537" t="str">
        <f>IF(N537="","",IF(P537=0,SUMIFS(Calcoli!$C$7:$C$21,Calcoli!$A$7:$A$21,C537),INDEX($S$5:$S$1004,P537)))</f>
        <v/>
      </c>
      <c r="R537" t="str">
        <f>IF(N537="","",IF(P537=0,SUMIFS(Calcoli!$D$7:$D$21,Calcoli!$A$7:$A$21,C537),INDEX($T$5:$T$1004,P537)))</f>
        <v/>
      </c>
      <c r="S537" t="str">
        <f>IF(N537="","",IF(B537="Acquisto",Q537+N(D537),MAX(0,Q537-N(D537))))</f>
        <v/>
      </c>
      <c r="T537" t="str">
        <f>IF(N537="","",IF(B537="Acquisto",R537+J537+N(G537),IF(Q537&lt;=0,0,R537*(1-MIN(1,N(D537)/Q537)))))</f>
        <v/>
      </c>
      <c r="U537" t="str">
        <f>IF(B537&lt;&gt;"Vendita","",J537-N(G537)-IF(Q537&lt;=0,0,R537*MIN(1,N(D537)/Q537)))</f>
        <v/>
      </c>
      <c r="V537" t="str">
        <f>IF(B537&lt;&gt;"Dividendo","",IF(Calcoli!$B$251=1,J537,L537))</f>
        <v/>
      </c>
      <c r="W537" t="str">
        <f>IF(AND(V537&lt;&gt;"",ISNUMBER(A537)),A537,"")</f>
        <v/>
      </c>
    </row>
    <row r="538">
      <c r="A538" s="134" t="n"/>
      <c r="B538" s="116" t="n"/>
      <c r="C538" s="116" t="n"/>
      <c r="D538" s="121" t="n"/>
      <c r="E538" s="120" t="n"/>
      <c r="F538" s="120" t="n"/>
      <c r="G538" s="120" t="n"/>
      <c r="H538" s="120" t="n"/>
      <c r="I538" s="117" t="n"/>
      <c r="J538" s="123" t="str">
        <f>IF(B538="","",IF(F538&lt;&gt;"",N(F538),ROUND(N(D538)*N(E538),2)))</f>
        <v/>
      </c>
      <c r="K538" s="123" t="str">
        <f>IF(B538="","",IF(H538&lt;&gt;"",N(H538),IF(B538="Dividendo",ROUND(J538*IFERROR(INDEX(Calcoli!$V$7:$V$21,MATCH(C538,Calcoli!$A$7:$A$21,0)),0.26),2),IF(B538="Vendita",ROUND(MAX(0,U538)*IFERROR(INDEX(Calcoli!$V$7:$V$21,MATCH(C538,Calcoli!$A$7:$A$21,0)),0.26),2),0))))</f>
        <v/>
      </c>
      <c r="L538" s="135" t="str">
        <f>IF(B538="","",IF(B538="Acquisto",-(J538+N(G538)),J538-N(G538)-K538))</f>
        <v/>
      </c>
      <c r="M538" s="127" t="str">
        <f>IF(B538="","",IF(ISNA(MATCH(C538,ETF!$A$7:$A$21,0)),"ETF?",IF(NOT(ISNUMBER(A538)),"Data?",IF(AND(B538&lt;&gt;"Dividendo",N(D538)&lt;=0),"Quote?",IF(AND(B538="Vendita",N(D538)&gt;N(Q538)+0.000001),"Quote?",IF(J538&lt;=0,"Importo?","✓"))))))</f>
        <v/>
      </c>
      <c r="N538" t="str">
        <f>IF(OR(B538="Acquisto",B538="Vendita"),COUNTIFS($C$5:C538,C538,$B$5:B538,"Acquisto")+COUNTIFS($C$5:C538,C538,$B$5:B538,"Vendita"),"")</f>
        <v/>
      </c>
      <c r="O538" t="str">
        <f>IF(N538="","",C538&amp;"|"&amp;N538)</f>
        <v/>
      </c>
      <c r="P538" t="str">
        <f>IF(N538="","",IF(N538=1,0,MATCH(C538&amp;"|"&amp;(N538-1),$O$5:$O$1004,0)))</f>
        <v/>
      </c>
      <c r="Q538" t="str">
        <f>IF(N538="","",IF(P538=0,SUMIFS(Calcoli!$C$7:$C$21,Calcoli!$A$7:$A$21,C538),INDEX($S$5:$S$1004,P538)))</f>
        <v/>
      </c>
      <c r="R538" t="str">
        <f>IF(N538="","",IF(P538=0,SUMIFS(Calcoli!$D$7:$D$21,Calcoli!$A$7:$A$21,C538),INDEX($T$5:$T$1004,P538)))</f>
        <v/>
      </c>
      <c r="S538" t="str">
        <f>IF(N538="","",IF(B538="Acquisto",Q538+N(D538),MAX(0,Q538-N(D538))))</f>
        <v/>
      </c>
      <c r="T538" t="str">
        <f>IF(N538="","",IF(B538="Acquisto",R538+J538+N(G538),IF(Q538&lt;=0,0,R538*(1-MIN(1,N(D538)/Q538)))))</f>
        <v/>
      </c>
      <c r="U538" t="str">
        <f>IF(B538&lt;&gt;"Vendita","",J538-N(G538)-IF(Q538&lt;=0,0,R538*MIN(1,N(D538)/Q538)))</f>
        <v/>
      </c>
      <c r="V538" t="str">
        <f>IF(B538&lt;&gt;"Dividendo","",IF(Calcoli!$B$251=1,J538,L538))</f>
        <v/>
      </c>
      <c r="W538" t="str">
        <f>IF(AND(V538&lt;&gt;"",ISNUMBER(A538)),A538,"")</f>
        <v/>
      </c>
    </row>
    <row r="539">
      <c r="A539" s="134" t="n"/>
      <c r="B539" s="116" t="n"/>
      <c r="C539" s="116" t="n"/>
      <c r="D539" s="121" t="n"/>
      <c r="E539" s="120" t="n"/>
      <c r="F539" s="120" t="n"/>
      <c r="G539" s="120" t="n"/>
      <c r="H539" s="120" t="n"/>
      <c r="I539" s="117" t="n"/>
      <c r="J539" s="123" t="str">
        <f>IF(B539="","",IF(F539&lt;&gt;"",N(F539),ROUND(N(D539)*N(E539),2)))</f>
        <v/>
      </c>
      <c r="K539" s="123" t="str">
        <f>IF(B539="","",IF(H539&lt;&gt;"",N(H539),IF(B539="Dividendo",ROUND(J539*IFERROR(INDEX(Calcoli!$V$7:$V$21,MATCH(C539,Calcoli!$A$7:$A$21,0)),0.26),2),IF(B539="Vendita",ROUND(MAX(0,U539)*IFERROR(INDEX(Calcoli!$V$7:$V$21,MATCH(C539,Calcoli!$A$7:$A$21,0)),0.26),2),0))))</f>
        <v/>
      </c>
      <c r="L539" s="135" t="str">
        <f>IF(B539="","",IF(B539="Acquisto",-(J539+N(G539)),J539-N(G539)-K539))</f>
        <v/>
      </c>
      <c r="M539" s="127" t="str">
        <f>IF(B539="","",IF(ISNA(MATCH(C539,ETF!$A$7:$A$21,0)),"ETF?",IF(NOT(ISNUMBER(A539)),"Data?",IF(AND(B539&lt;&gt;"Dividendo",N(D539)&lt;=0),"Quote?",IF(AND(B539="Vendita",N(D539)&gt;N(Q539)+0.000001),"Quote?",IF(J539&lt;=0,"Importo?","✓"))))))</f>
        <v/>
      </c>
      <c r="N539" t="str">
        <f>IF(OR(B539="Acquisto",B539="Vendita"),COUNTIFS($C$5:C539,C539,$B$5:B539,"Acquisto")+COUNTIFS($C$5:C539,C539,$B$5:B539,"Vendita"),"")</f>
        <v/>
      </c>
      <c r="O539" t="str">
        <f>IF(N539="","",C539&amp;"|"&amp;N539)</f>
        <v/>
      </c>
      <c r="P539" t="str">
        <f>IF(N539="","",IF(N539=1,0,MATCH(C539&amp;"|"&amp;(N539-1),$O$5:$O$1004,0)))</f>
        <v/>
      </c>
      <c r="Q539" t="str">
        <f>IF(N539="","",IF(P539=0,SUMIFS(Calcoli!$C$7:$C$21,Calcoli!$A$7:$A$21,C539),INDEX($S$5:$S$1004,P539)))</f>
        <v/>
      </c>
      <c r="R539" t="str">
        <f>IF(N539="","",IF(P539=0,SUMIFS(Calcoli!$D$7:$D$21,Calcoli!$A$7:$A$21,C539),INDEX($T$5:$T$1004,P539)))</f>
        <v/>
      </c>
      <c r="S539" t="str">
        <f>IF(N539="","",IF(B539="Acquisto",Q539+N(D539),MAX(0,Q539-N(D539))))</f>
        <v/>
      </c>
      <c r="T539" t="str">
        <f>IF(N539="","",IF(B539="Acquisto",R539+J539+N(G539),IF(Q539&lt;=0,0,R539*(1-MIN(1,N(D539)/Q539)))))</f>
        <v/>
      </c>
      <c r="U539" t="str">
        <f>IF(B539&lt;&gt;"Vendita","",J539-N(G539)-IF(Q539&lt;=0,0,R539*MIN(1,N(D539)/Q539)))</f>
        <v/>
      </c>
      <c r="V539" t="str">
        <f>IF(B539&lt;&gt;"Dividendo","",IF(Calcoli!$B$251=1,J539,L539))</f>
        <v/>
      </c>
      <c r="W539" t="str">
        <f>IF(AND(V539&lt;&gt;"",ISNUMBER(A539)),A539,"")</f>
        <v/>
      </c>
    </row>
    <row r="540">
      <c r="A540" s="134" t="n"/>
      <c r="B540" s="116" t="n"/>
      <c r="C540" s="116" t="n"/>
      <c r="D540" s="121" t="n"/>
      <c r="E540" s="120" t="n"/>
      <c r="F540" s="120" t="n"/>
      <c r="G540" s="120" t="n"/>
      <c r="H540" s="120" t="n"/>
      <c r="I540" s="117" t="n"/>
      <c r="J540" s="123" t="str">
        <f>IF(B540="","",IF(F540&lt;&gt;"",N(F540),ROUND(N(D540)*N(E540),2)))</f>
        <v/>
      </c>
      <c r="K540" s="123" t="str">
        <f>IF(B540="","",IF(H540&lt;&gt;"",N(H540),IF(B540="Dividendo",ROUND(J540*IFERROR(INDEX(Calcoli!$V$7:$V$21,MATCH(C540,Calcoli!$A$7:$A$21,0)),0.26),2),IF(B540="Vendita",ROUND(MAX(0,U540)*IFERROR(INDEX(Calcoli!$V$7:$V$21,MATCH(C540,Calcoli!$A$7:$A$21,0)),0.26),2),0))))</f>
        <v/>
      </c>
      <c r="L540" s="135" t="str">
        <f>IF(B540="","",IF(B540="Acquisto",-(J540+N(G540)),J540-N(G540)-K540))</f>
        <v/>
      </c>
      <c r="M540" s="127" t="str">
        <f>IF(B540="","",IF(ISNA(MATCH(C540,ETF!$A$7:$A$21,0)),"ETF?",IF(NOT(ISNUMBER(A540)),"Data?",IF(AND(B540&lt;&gt;"Dividendo",N(D540)&lt;=0),"Quote?",IF(AND(B540="Vendita",N(D540)&gt;N(Q540)+0.000001),"Quote?",IF(J540&lt;=0,"Importo?","✓"))))))</f>
        <v/>
      </c>
      <c r="N540" t="str">
        <f>IF(OR(B540="Acquisto",B540="Vendita"),COUNTIFS($C$5:C540,C540,$B$5:B540,"Acquisto")+COUNTIFS($C$5:C540,C540,$B$5:B540,"Vendita"),"")</f>
        <v/>
      </c>
      <c r="O540" t="str">
        <f>IF(N540="","",C540&amp;"|"&amp;N540)</f>
        <v/>
      </c>
      <c r="P540" t="str">
        <f>IF(N540="","",IF(N540=1,0,MATCH(C540&amp;"|"&amp;(N540-1),$O$5:$O$1004,0)))</f>
        <v/>
      </c>
      <c r="Q540" t="str">
        <f>IF(N540="","",IF(P540=0,SUMIFS(Calcoli!$C$7:$C$21,Calcoli!$A$7:$A$21,C540),INDEX($S$5:$S$1004,P540)))</f>
        <v/>
      </c>
      <c r="R540" t="str">
        <f>IF(N540="","",IF(P540=0,SUMIFS(Calcoli!$D$7:$D$21,Calcoli!$A$7:$A$21,C540),INDEX($T$5:$T$1004,P540)))</f>
        <v/>
      </c>
      <c r="S540" t="str">
        <f>IF(N540="","",IF(B540="Acquisto",Q540+N(D540),MAX(0,Q540-N(D540))))</f>
        <v/>
      </c>
      <c r="T540" t="str">
        <f>IF(N540="","",IF(B540="Acquisto",R540+J540+N(G540),IF(Q540&lt;=0,0,R540*(1-MIN(1,N(D540)/Q540)))))</f>
        <v/>
      </c>
      <c r="U540" t="str">
        <f>IF(B540&lt;&gt;"Vendita","",J540-N(G540)-IF(Q540&lt;=0,0,R540*MIN(1,N(D540)/Q540)))</f>
        <v/>
      </c>
      <c r="V540" t="str">
        <f>IF(B540&lt;&gt;"Dividendo","",IF(Calcoli!$B$251=1,J540,L540))</f>
        <v/>
      </c>
      <c r="W540" t="str">
        <f>IF(AND(V540&lt;&gt;"",ISNUMBER(A540)),A540,"")</f>
        <v/>
      </c>
    </row>
    <row r="541">
      <c r="A541" s="134" t="n"/>
      <c r="B541" s="116" t="n"/>
      <c r="C541" s="116" t="n"/>
      <c r="D541" s="121" t="n"/>
      <c r="E541" s="120" t="n"/>
      <c r="F541" s="120" t="n"/>
      <c r="G541" s="120" t="n"/>
      <c r="H541" s="120" t="n"/>
      <c r="I541" s="117" t="n"/>
      <c r="J541" s="123" t="str">
        <f>IF(B541="","",IF(F541&lt;&gt;"",N(F541),ROUND(N(D541)*N(E541),2)))</f>
        <v/>
      </c>
      <c r="K541" s="123" t="str">
        <f>IF(B541="","",IF(H541&lt;&gt;"",N(H541),IF(B541="Dividendo",ROUND(J541*IFERROR(INDEX(Calcoli!$V$7:$V$21,MATCH(C541,Calcoli!$A$7:$A$21,0)),0.26),2),IF(B541="Vendita",ROUND(MAX(0,U541)*IFERROR(INDEX(Calcoli!$V$7:$V$21,MATCH(C541,Calcoli!$A$7:$A$21,0)),0.26),2),0))))</f>
        <v/>
      </c>
      <c r="L541" s="135" t="str">
        <f>IF(B541="","",IF(B541="Acquisto",-(J541+N(G541)),J541-N(G541)-K541))</f>
        <v/>
      </c>
      <c r="M541" s="127" t="str">
        <f>IF(B541="","",IF(ISNA(MATCH(C541,ETF!$A$7:$A$21,0)),"ETF?",IF(NOT(ISNUMBER(A541)),"Data?",IF(AND(B541&lt;&gt;"Dividendo",N(D541)&lt;=0),"Quote?",IF(AND(B541="Vendita",N(D541)&gt;N(Q541)+0.000001),"Quote?",IF(J541&lt;=0,"Importo?","✓"))))))</f>
        <v/>
      </c>
      <c r="N541" t="str">
        <f>IF(OR(B541="Acquisto",B541="Vendita"),COUNTIFS($C$5:C541,C541,$B$5:B541,"Acquisto")+COUNTIFS($C$5:C541,C541,$B$5:B541,"Vendita"),"")</f>
        <v/>
      </c>
      <c r="O541" t="str">
        <f>IF(N541="","",C541&amp;"|"&amp;N541)</f>
        <v/>
      </c>
      <c r="P541" t="str">
        <f>IF(N541="","",IF(N541=1,0,MATCH(C541&amp;"|"&amp;(N541-1),$O$5:$O$1004,0)))</f>
        <v/>
      </c>
      <c r="Q541" t="str">
        <f>IF(N541="","",IF(P541=0,SUMIFS(Calcoli!$C$7:$C$21,Calcoli!$A$7:$A$21,C541),INDEX($S$5:$S$1004,P541)))</f>
        <v/>
      </c>
      <c r="R541" t="str">
        <f>IF(N541="","",IF(P541=0,SUMIFS(Calcoli!$D$7:$D$21,Calcoli!$A$7:$A$21,C541),INDEX($T$5:$T$1004,P541)))</f>
        <v/>
      </c>
      <c r="S541" t="str">
        <f>IF(N541="","",IF(B541="Acquisto",Q541+N(D541),MAX(0,Q541-N(D541))))</f>
        <v/>
      </c>
      <c r="T541" t="str">
        <f>IF(N541="","",IF(B541="Acquisto",R541+J541+N(G541),IF(Q541&lt;=0,0,R541*(1-MIN(1,N(D541)/Q541)))))</f>
        <v/>
      </c>
      <c r="U541" t="str">
        <f>IF(B541&lt;&gt;"Vendita","",J541-N(G541)-IF(Q541&lt;=0,0,R541*MIN(1,N(D541)/Q541)))</f>
        <v/>
      </c>
      <c r="V541" t="str">
        <f>IF(B541&lt;&gt;"Dividendo","",IF(Calcoli!$B$251=1,J541,L541))</f>
        <v/>
      </c>
      <c r="W541" t="str">
        <f>IF(AND(V541&lt;&gt;"",ISNUMBER(A541)),A541,"")</f>
        <v/>
      </c>
    </row>
    <row r="542">
      <c r="A542" s="134" t="n"/>
      <c r="B542" s="116" t="n"/>
      <c r="C542" s="116" t="n"/>
      <c r="D542" s="121" t="n"/>
      <c r="E542" s="120" t="n"/>
      <c r="F542" s="120" t="n"/>
      <c r="G542" s="120" t="n"/>
      <c r="H542" s="120" t="n"/>
      <c r="I542" s="117" t="n"/>
      <c r="J542" s="123" t="str">
        <f>IF(B542="","",IF(F542&lt;&gt;"",N(F542),ROUND(N(D542)*N(E542),2)))</f>
        <v/>
      </c>
      <c r="K542" s="123" t="str">
        <f>IF(B542="","",IF(H542&lt;&gt;"",N(H542),IF(B542="Dividendo",ROUND(J542*IFERROR(INDEX(Calcoli!$V$7:$V$21,MATCH(C542,Calcoli!$A$7:$A$21,0)),0.26),2),IF(B542="Vendita",ROUND(MAX(0,U542)*IFERROR(INDEX(Calcoli!$V$7:$V$21,MATCH(C542,Calcoli!$A$7:$A$21,0)),0.26),2),0))))</f>
        <v/>
      </c>
      <c r="L542" s="135" t="str">
        <f>IF(B542="","",IF(B542="Acquisto",-(J542+N(G542)),J542-N(G542)-K542))</f>
        <v/>
      </c>
      <c r="M542" s="127" t="str">
        <f>IF(B542="","",IF(ISNA(MATCH(C542,ETF!$A$7:$A$21,0)),"ETF?",IF(NOT(ISNUMBER(A542)),"Data?",IF(AND(B542&lt;&gt;"Dividendo",N(D542)&lt;=0),"Quote?",IF(AND(B542="Vendita",N(D542)&gt;N(Q542)+0.000001),"Quote?",IF(J542&lt;=0,"Importo?","✓"))))))</f>
        <v/>
      </c>
      <c r="N542" t="str">
        <f>IF(OR(B542="Acquisto",B542="Vendita"),COUNTIFS($C$5:C542,C542,$B$5:B542,"Acquisto")+COUNTIFS($C$5:C542,C542,$B$5:B542,"Vendita"),"")</f>
        <v/>
      </c>
      <c r="O542" t="str">
        <f>IF(N542="","",C542&amp;"|"&amp;N542)</f>
        <v/>
      </c>
      <c r="P542" t="str">
        <f>IF(N542="","",IF(N542=1,0,MATCH(C542&amp;"|"&amp;(N542-1),$O$5:$O$1004,0)))</f>
        <v/>
      </c>
      <c r="Q542" t="str">
        <f>IF(N542="","",IF(P542=0,SUMIFS(Calcoli!$C$7:$C$21,Calcoli!$A$7:$A$21,C542),INDEX($S$5:$S$1004,P542)))</f>
        <v/>
      </c>
      <c r="R542" t="str">
        <f>IF(N542="","",IF(P542=0,SUMIFS(Calcoli!$D$7:$D$21,Calcoli!$A$7:$A$21,C542),INDEX($T$5:$T$1004,P542)))</f>
        <v/>
      </c>
      <c r="S542" t="str">
        <f>IF(N542="","",IF(B542="Acquisto",Q542+N(D542),MAX(0,Q542-N(D542))))</f>
        <v/>
      </c>
      <c r="T542" t="str">
        <f>IF(N542="","",IF(B542="Acquisto",R542+J542+N(G542),IF(Q542&lt;=0,0,R542*(1-MIN(1,N(D542)/Q542)))))</f>
        <v/>
      </c>
      <c r="U542" t="str">
        <f>IF(B542&lt;&gt;"Vendita","",J542-N(G542)-IF(Q542&lt;=0,0,R542*MIN(1,N(D542)/Q542)))</f>
        <v/>
      </c>
      <c r="V542" t="str">
        <f>IF(B542&lt;&gt;"Dividendo","",IF(Calcoli!$B$251=1,J542,L542))</f>
        <v/>
      </c>
      <c r="W542" t="str">
        <f>IF(AND(V542&lt;&gt;"",ISNUMBER(A542)),A542,"")</f>
        <v/>
      </c>
    </row>
    <row r="543">
      <c r="A543" s="134" t="n"/>
      <c r="B543" s="116" t="n"/>
      <c r="C543" s="116" t="n"/>
      <c r="D543" s="121" t="n"/>
      <c r="E543" s="120" t="n"/>
      <c r="F543" s="120" t="n"/>
      <c r="G543" s="120" t="n"/>
      <c r="H543" s="120" t="n"/>
      <c r="I543" s="117" t="n"/>
      <c r="J543" s="123" t="str">
        <f>IF(B543="","",IF(F543&lt;&gt;"",N(F543),ROUND(N(D543)*N(E543),2)))</f>
        <v/>
      </c>
      <c r="K543" s="123" t="str">
        <f>IF(B543="","",IF(H543&lt;&gt;"",N(H543),IF(B543="Dividendo",ROUND(J543*IFERROR(INDEX(Calcoli!$V$7:$V$21,MATCH(C543,Calcoli!$A$7:$A$21,0)),0.26),2),IF(B543="Vendita",ROUND(MAX(0,U543)*IFERROR(INDEX(Calcoli!$V$7:$V$21,MATCH(C543,Calcoli!$A$7:$A$21,0)),0.26),2),0))))</f>
        <v/>
      </c>
      <c r="L543" s="135" t="str">
        <f>IF(B543="","",IF(B543="Acquisto",-(J543+N(G543)),J543-N(G543)-K543))</f>
        <v/>
      </c>
      <c r="M543" s="127" t="str">
        <f>IF(B543="","",IF(ISNA(MATCH(C543,ETF!$A$7:$A$21,0)),"ETF?",IF(NOT(ISNUMBER(A543)),"Data?",IF(AND(B543&lt;&gt;"Dividendo",N(D543)&lt;=0),"Quote?",IF(AND(B543="Vendita",N(D543)&gt;N(Q543)+0.000001),"Quote?",IF(J543&lt;=0,"Importo?","✓"))))))</f>
        <v/>
      </c>
      <c r="N543" t="str">
        <f>IF(OR(B543="Acquisto",B543="Vendita"),COUNTIFS($C$5:C543,C543,$B$5:B543,"Acquisto")+COUNTIFS($C$5:C543,C543,$B$5:B543,"Vendita"),"")</f>
        <v/>
      </c>
      <c r="O543" t="str">
        <f>IF(N543="","",C543&amp;"|"&amp;N543)</f>
        <v/>
      </c>
      <c r="P543" t="str">
        <f>IF(N543="","",IF(N543=1,0,MATCH(C543&amp;"|"&amp;(N543-1),$O$5:$O$1004,0)))</f>
        <v/>
      </c>
      <c r="Q543" t="str">
        <f>IF(N543="","",IF(P543=0,SUMIFS(Calcoli!$C$7:$C$21,Calcoli!$A$7:$A$21,C543),INDEX($S$5:$S$1004,P543)))</f>
        <v/>
      </c>
      <c r="R543" t="str">
        <f>IF(N543="","",IF(P543=0,SUMIFS(Calcoli!$D$7:$D$21,Calcoli!$A$7:$A$21,C543),INDEX($T$5:$T$1004,P543)))</f>
        <v/>
      </c>
      <c r="S543" t="str">
        <f>IF(N543="","",IF(B543="Acquisto",Q543+N(D543),MAX(0,Q543-N(D543))))</f>
        <v/>
      </c>
      <c r="T543" t="str">
        <f>IF(N543="","",IF(B543="Acquisto",R543+J543+N(G543),IF(Q543&lt;=0,0,R543*(1-MIN(1,N(D543)/Q543)))))</f>
        <v/>
      </c>
      <c r="U543" t="str">
        <f>IF(B543&lt;&gt;"Vendita","",J543-N(G543)-IF(Q543&lt;=0,0,R543*MIN(1,N(D543)/Q543)))</f>
        <v/>
      </c>
      <c r="V543" t="str">
        <f>IF(B543&lt;&gt;"Dividendo","",IF(Calcoli!$B$251=1,J543,L543))</f>
        <v/>
      </c>
      <c r="W543" t="str">
        <f>IF(AND(V543&lt;&gt;"",ISNUMBER(A543)),A543,"")</f>
        <v/>
      </c>
    </row>
    <row r="544">
      <c r="A544" s="134" t="n"/>
      <c r="B544" s="116" t="n"/>
      <c r="C544" s="116" t="n"/>
      <c r="D544" s="121" t="n"/>
      <c r="E544" s="120" t="n"/>
      <c r="F544" s="120" t="n"/>
      <c r="G544" s="120" t="n"/>
      <c r="H544" s="120" t="n"/>
      <c r="I544" s="117" t="n"/>
      <c r="J544" s="123" t="str">
        <f>IF(B544="","",IF(F544&lt;&gt;"",N(F544),ROUND(N(D544)*N(E544),2)))</f>
        <v/>
      </c>
      <c r="K544" s="123" t="str">
        <f>IF(B544="","",IF(H544&lt;&gt;"",N(H544),IF(B544="Dividendo",ROUND(J544*IFERROR(INDEX(Calcoli!$V$7:$V$21,MATCH(C544,Calcoli!$A$7:$A$21,0)),0.26),2),IF(B544="Vendita",ROUND(MAX(0,U544)*IFERROR(INDEX(Calcoli!$V$7:$V$21,MATCH(C544,Calcoli!$A$7:$A$21,0)),0.26),2),0))))</f>
        <v/>
      </c>
      <c r="L544" s="135" t="str">
        <f>IF(B544="","",IF(B544="Acquisto",-(J544+N(G544)),J544-N(G544)-K544))</f>
        <v/>
      </c>
      <c r="M544" s="127" t="str">
        <f>IF(B544="","",IF(ISNA(MATCH(C544,ETF!$A$7:$A$21,0)),"ETF?",IF(NOT(ISNUMBER(A544)),"Data?",IF(AND(B544&lt;&gt;"Dividendo",N(D544)&lt;=0),"Quote?",IF(AND(B544="Vendita",N(D544)&gt;N(Q544)+0.000001),"Quote?",IF(J544&lt;=0,"Importo?","✓"))))))</f>
        <v/>
      </c>
      <c r="N544" t="str">
        <f>IF(OR(B544="Acquisto",B544="Vendita"),COUNTIFS($C$5:C544,C544,$B$5:B544,"Acquisto")+COUNTIFS($C$5:C544,C544,$B$5:B544,"Vendita"),"")</f>
        <v/>
      </c>
      <c r="O544" t="str">
        <f>IF(N544="","",C544&amp;"|"&amp;N544)</f>
        <v/>
      </c>
      <c r="P544" t="str">
        <f>IF(N544="","",IF(N544=1,0,MATCH(C544&amp;"|"&amp;(N544-1),$O$5:$O$1004,0)))</f>
        <v/>
      </c>
      <c r="Q544" t="str">
        <f>IF(N544="","",IF(P544=0,SUMIFS(Calcoli!$C$7:$C$21,Calcoli!$A$7:$A$21,C544),INDEX($S$5:$S$1004,P544)))</f>
        <v/>
      </c>
      <c r="R544" t="str">
        <f>IF(N544="","",IF(P544=0,SUMIFS(Calcoli!$D$7:$D$21,Calcoli!$A$7:$A$21,C544),INDEX($T$5:$T$1004,P544)))</f>
        <v/>
      </c>
      <c r="S544" t="str">
        <f>IF(N544="","",IF(B544="Acquisto",Q544+N(D544),MAX(0,Q544-N(D544))))</f>
        <v/>
      </c>
      <c r="T544" t="str">
        <f>IF(N544="","",IF(B544="Acquisto",R544+J544+N(G544),IF(Q544&lt;=0,0,R544*(1-MIN(1,N(D544)/Q544)))))</f>
        <v/>
      </c>
      <c r="U544" t="str">
        <f>IF(B544&lt;&gt;"Vendita","",J544-N(G544)-IF(Q544&lt;=0,0,R544*MIN(1,N(D544)/Q544)))</f>
        <v/>
      </c>
      <c r="V544" t="str">
        <f>IF(B544&lt;&gt;"Dividendo","",IF(Calcoli!$B$251=1,J544,L544))</f>
        <v/>
      </c>
      <c r="W544" t="str">
        <f>IF(AND(V544&lt;&gt;"",ISNUMBER(A544)),A544,"")</f>
        <v/>
      </c>
    </row>
    <row r="545">
      <c r="A545" s="134" t="n"/>
      <c r="B545" s="116" t="n"/>
      <c r="C545" s="116" t="n"/>
      <c r="D545" s="121" t="n"/>
      <c r="E545" s="120" t="n"/>
      <c r="F545" s="120" t="n"/>
      <c r="G545" s="120" t="n"/>
      <c r="H545" s="120" t="n"/>
      <c r="I545" s="117" t="n"/>
      <c r="J545" s="123" t="str">
        <f>IF(B545="","",IF(F545&lt;&gt;"",N(F545),ROUND(N(D545)*N(E545),2)))</f>
        <v/>
      </c>
      <c r="K545" s="123" t="str">
        <f>IF(B545="","",IF(H545&lt;&gt;"",N(H545),IF(B545="Dividendo",ROUND(J545*IFERROR(INDEX(Calcoli!$V$7:$V$21,MATCH(C545,Calcoli!$A$7:$A$21,0)),0.26),2),IF(B545="Vendita",ROUND(MAX(0,U545)*IFERROR(INDEX(Calcoli!$V$7:$V$21,MATCH(C545,Calcoli!$A$7:$A$21,0)),0.26),2),0))))</f>
        <v/>
      </c>
      <c r="L545" s="135" t="str">
        <f>IF(B545="","",IF(B545="Acquisto",-(J545+N(G545)),J545-N(G545)-K545))</f>
        <v/>
      </c>
      <c r="M545" s="127" t="str">
        <f>IF(B545="","",IF(ISNA(MATCH(C545,ETF!$A$7:$A$21,0)),"ETF?",IF(NOT(ISNUMBER(A545)),"Data?",IF(AND(B545&lt;&gt;"Dividendo",N(D545)&lt;=0),"Quote?",IF(AND(B545="Vendita",N(D545)&gt;N(Q545)+0.000001),"Quote?",IF(J545&lt;=0,"Importo?","✓"))))))</f>
        <v/>
      </c>
      <c r="N545" t="str">
        <f>IF(OR(B545="Acquisto",B545="Vendita"),COUNTIFS($C$5:C545,C545,$B$5:B545,"Acquisto")+COUNTIFS($C$5:C545,C545,$B$5:B545,"Vendita"),"")</f>
        <v/>
      </c>
      <c r="O545" t="str">
        <f>IF(N545="","",C545&amp;"|"&amp;N545)</f>
        <v/>
      </c>
      <c r="P545" t="str">
        <f>IF(N545="","",IF(N545=1,0,MATCH(C545&amp;"|"&amp;(N545-1),$O$5:$O$1004,0)))</f>
        <v/>
      </c>
      <c r="Q545" t="str">
        <f>IF(N545="","",IF(P545=0,SUMIFS(Calcoli!$C$7:$C$21,Calcoli!$A$7:$A$21,C545),INDEX($S$5:$S$1004,P545)))</f>
        <v/>
      </c>
      <c r="R545" t="str">
        <f>IF(N545="","",IF(P545=0,SUMIFS(Calcoli!$D$7:$D$21,Calcoli!$A$7:$A$21,C545),INDEX($T$5:$T$1004,P545)))</f>
        <v/>
      </c>
      <c r="S545" t="str">
        <f>IF(N545="","",IF(B545="Acquisto",Q545+N(D545),MAX(0,Q545-N(D545))))</f>
        <v/>
      </c>
      <c r="T545" t="str">
        <f>IF(N545="","",IF(B545="Acquisto",R545+J545+N(G545),IF(Q545&lt;=0,0,R545*(1-MIN(1,N(D545)/Q545)))))</f>
        <v/>
      </c>
      <c r="U545" t="str">
        <f>IF(B545&lt;&gt;"Vendita","",J545-N(G545)-IF(Q545&lt;=0,0,R545*MIN(1,N(D545)/Q545)))</f>
        <v/>
      </c>
      <c r="V545" t="str">
        <f>IF(B545&lt;&gt;"Dividendo","",IF(Calcoli!$B$251=1,J545,L545))</f>
        <v/>
      </c>
      <c r="W545" t="str">
        <f>IF(AND(V545&lt;&gt;"",ISNUMBER(A545)),A545,"")</f>
        <v/>
      </c>
    </row>
    <row r="546">
      <c r="A546" s="134" t="n"/>
      <c r="B546" s="116" t="n"/>
      <c r="C546" s="116" t="n"/>
      <c r="D546" s="121" t="n"/>
      <c r="E546" s="120" t="n"/>
      <c r="F546" s="120" t="n"/>
      <c r="G546" s="120" t="n"/>
      <c r="H546" s="120" t="n"/>
      <c r="I546" s="117" t="n"/>
      <c r="J546" s="123" t="str">
        <f>IF(B546="","",IF(F546&lt;&gt;"",N(F546),ROUND(N(D546)*N(E546),2)))</f>
        <v/>
      </c>
      <c r="K546" s="123" t="str">
        <f>IF(B546="","",IF(H546&lt;&gt;"",N(H546),IF(B546="Dividendo",ROUND(J546*IFERROR(INDEX(Calcoli!$V$7:$V$21,MATCH(C546,Calcoli!$A$7:$A$21,0)),0.26),2),IF(B546="Vendita",ROUND(MAX(0,U546)*IFERROR(INDEX(Calcoli!$V$7:$V$21,MATCH(C546,Calcoli!$A$7:$A$21,0)),0.26),2),0))))</f>
        <v/>
      </c>
      <c r="L546" s="135" t="str">
        <f>IF(B546="","",IF(B546="Acquisto",-(J546+N(G546)),J546-N(G546)-K546))</f>
        <v/>
      </c>
      <c r="M546" s="127" t="str">
        <f>IF(B546="","",IF(ISNA(MATCH(C546,ETF!$A$7:$A$21,0)),"ETF?",IF(NOT(ISNUMBER(A546)),"Data?",IF(AND(B546&lt;&gt;"Dividendo",N(D546)&lt;=0),"Quote?",IF(AND(B546="Vendita",N(D546)&gt;N(Q546)+0.000001),"Quote?",IF(J546&lt;=0,"Importo?","✓"))))))</f>
        <v/>
      </c>
      <c r="N546" t="str">
        <f>IF(OR(B546="Acquisto",B546="Vendita"),COUNTIFS($C$5:C546,C546,$B$5:B546,"Acquisto")+COUNTIFS($C$5:C546,C546,$B$5:B546,"Vendita"),"")</f>
        <v/>
      </c>
      <c r="O546" t="str">
        <f>IF(N546="","",C546&amp;"|"&amp;N546)</f>
        <v/>
      </c>
      <c r="P546" t="str">
        <f>IF(N546="","",IF(N546=1,0,MATCH(C546&amp;"|"&amp;(N546-1),$O$5:$O$1004,0)))</f>
        <v/>
      </c>
      <c r="Q546" t="str">
        <f>IF(N546="","",IF(P546=0,SUMIFS(Calcoli!$C$7:$C$21,Calcoli!$A$7:$A$21,C546),INDEX($S$5:$S$1004,P546)))</f>
        <v/>
      </c>
      <c r="R546" t="str">
        <f>IF(N546="","",IF(P546=0,SUMIFS(Calcoli!$D$7:$D$21,Calcoli!$A$7:$A$21,C546),INDEX($T$5:$T$1004,P546)))</f>
        <v/>
      </c>
      <c r="S546" t="str">
        <f>IF(N546="","",IF(B546="Acquisto",Q546+N(D546),MAX(0,Q546-N(D546))))</f>
        <v/>
      </c>
      <c r="T546" t="str">
        <f>IF(N546="","",IF(B546="Acquisto",R546+J546+N(G546),IF(Q546&lt;=0,0,R546*(1-MIN(1,N(D546)/Q546)))))</f>
        <v/>
      </c>
      <c r="U546" t="str">
        <f>IF(B546&lt;&gt;"Vendita","",J546-N(G546)-IF(Q546&lt;=0,0,R546*MIN(1,N(D546)/Q546)))</f>
        <v/>
      </c>
      <c r="V546" t="str">
        <f>IF(B546&lt;&gt;"Dividendo","",IF(Calcoli!$B$251=1,J546,L546))</f>
        <v/>
      </c>
      <c r="W546" t="str">
        <f>IF(AND(V546&lt;&gt;"",ISNUMBER(A546)),A546,"")</f>
        <v/>
      </c>
    </row>
    <row r="547">
      <c r="A547" s="134" t="n"/>
      <c r="B547" s="116" t="n"/>
      <c r="C547" s="116" t="n"/>
      <c r="D547" s="121" t="n"/>
      <c r="E547" s="120" t="n"/>
      <c r="F547" s="120" t="n"/>
      <c r="G547" s="120" t="n"/>
      <c r="H547" s="120" t="n"/>
      <c r="I547" s="117" t="n"/>
      <c r="J547" s="123" t="str">
        <f>IF(B547="","",IF(F547&lt;&gt;"",N(F547),ROUND(N(D547)*N(E547),2)))</f>
        <v/>
      </c>
      <c r="K547" s="123" t="str">
        <f>IF(B547="","",IF(H547&lt;&gt;"",N(H547),IF(B547="Dividendo",ROUND(J547*IFERROR(INDEX(Calcoli!$V$7:$V$21,MATCH(C547,Calcoli!$A$7:$A$21,0)),0.26),2),IF(B547="Vendita",ROUND(MAX(0,U547)*IFERROR(INDEX(Calcoli!$V$7:$V$21,MATCH(C547,Calcoli!$A$7:$A$21,0)),0.26),2),0))))</f>
        <v/>
      </c>
      <c r="L547" s="135" t="str">
        <f>IF(B547="","",IF(B547="Acquisto",-(J547+N(G547)),J547-N(G547)-K547))</f>
        <v/>
      </c>
      <c r="M547" s="127" t="str">
        <f>IF(B547="","",IF(ISNA(MATCH(C547,ETF!$A$7:$A$21,0)),"ETF?",IF(NOT(ISNUMBER(A547)),"Data?",IF(AND(B547&lt;&gt;"Dividendo",N(D547)&lt;=0),"Quote?",IF(AND(B547="Vendita",N(D547)&gt;N(Q547)+0.000001),"Quote?",IF(J547&lt;=0,"Importo?","✓"))))))</f>
        <v/>
      </c>
      <c r="N547" t="str">
        <f>IF(OR(B547="Acquisto",B547="Vendita"),COUNTIFS($C$5:C547,C547,$B$5:B547,"Acquisto")+COUNTIFS($C$5:C547,C547,$B$5:B547,"Vendita"),"")</f>
        <v/>
      </c>
      <c r="O547" t="str">
        <f>IF(N547="","",C547&amp;"|"&amp;N547)</f>
        <v/>
      </c>
      <c r="P547" t="str">
        <f>IF(N547="","",IF(N547=1,0,MATCH(C547&amp;"|"&amp;(N547-1),$O$5:$O$1004,0)))</f>
        <v/>
      </c>
      <c r="Q547" t="str">
        <f>IF(N547="","",IF(P547=0,SUMIFS(Calcoli!$C$7:$C$21,Calcoli!$A$7:$A$21,C547),INDEX($S$5:$S$1004,P547)))</f>
        <v/>
      </c>
      <c r="R547" t="str">
        <f>IF(N547="","",IF(P547=0,SUMIFS(Calcoli!$D$7:$D$21,Calcoli!$A$7:$A$21,C547),INDEX($T$5:$T$1004,P547)))</f>
        <v/>
      </c>
      <c r="S547" t="str">
        <f>IF(N547="","",IF(B547="Acquisto",Q547+N(D547),MAX(0,Q547-N(D547))))</f>
        <v/>
      </c>
      <c r="T547" t="str">
        <f>IF(N547="","",IF(B547="Acquisto",R547+J547+N(G547),IF(Q547&lt;=0,0,R547*(1-MIN(1,N(D547)/Q547)))))</f>
        <v/>
      </c>
      <c r="U547" t="str">
        <f>IF(B547&lt;&gt;"Vendita","",J547-N(G547)-IF(Q547&lt;=0,0,R547*MIN(1,N(D547)/Q547)))</f>
        <v/>
      </c>
      <c r="V547" t="str">
        <f>IF(B547&lt;&gt;"Dividendo","",IF(Calcoli!$B$251=1,J547,L547))</f>
        <v/>
      </c>
      <c r="W547" t="str">
        <f>IF(AND(V547&lt;&gt;"",ISNUMBER(A547)),A547,"")</f>
        <v/>
      </c>
    </row>
    <row r="548">
      <c r="A548" s="134" t="n"/>
      <c r="B548" s="116" t="n"/>
      <c r="C548" s="116" t="n"/>
      <c r="D548" s="121" t="n"/>
      <c r="E548" s="120" t="n"/>
      <c r="F548" s="120" t="n"/>
      <c r="G548" s="120" t="n"/>
      <c r="H548" s="120" t="n"/>
      <c r="I548" s="117" t="n"/>
      <c r="J548" s="123" t="str">
        <f>IF(B548="","",IF(F548&lt;&gt;"",N(F548),ROUND(N(D548)*N(E548),2)))</f>
        <v/>
      </c>
      <c r="K548" s="123" t="str">
        <f>IF(B548="","",IF(H548&lt;&gt;"",N(H548),IF(B548="Dividendo",ROUND(J548*IFERROR(INDEX(Calcoli!$V$7:$V$21,MATCH(C548,Calcoli!$A$7:$A$21,0)),0.26),2),IF(B548="Vendita",ROUND(MAX(0,U548)*IFERROR(INDEX(Calcoli!$V$7:$V$21,MATCH(C548,Calcoli!$A$7:$A$21,0)),0.26),2),0))))</f>
        <v/>
      </c>
      <c r="L548" s="135" t="str">
        <f>IF(B548="","",IF(B548="Acquisto",-(J548+N(G548)),J548-N(G548)-K548))</f>
        <v/>
      </c>
      <c r="M548" s="127" t="str">
        <f>IF(B548="","",IF(ISNA(MATCH(C548,ETF!$A$7:$A$21,0)),"ETF?",IF(NOT(ISNUMBER(A548)),"Data?",IF(AND(B548&lt;&gt;"Dividendo",N(D548)&lt;=0),"Quote?",IF(AND(B548="Vendita",N(D548)&gt;N(Q548)+0.000001),"Quote?",IF(J548&lt;=0,"Importo?","✓"))))))</f>
        <v/>
      </c>
      <c r="N548" t="str">
        <f>IF(OR(B548="Acquisto",B548="Vendita"),COUNTIFS($C$5:C548,C548,$B$5:B548,"Acquisto")+COUNTIFS($C$5:C548,C548,$B$5:B548,"Vendita"),"")</f>
        <v/>
      </c>
      <c r="O548" t="str">
        <f>IF(N548="","",C548&amp;"|"&amp;N548)</f>
        <v/>
      </c>
      <c r="P548" t="str">
        <f>IF(N548="","",IF(N548=1,0,MATCH(C548&amp;"|"&amp;(N548-1),$O$5:$O$1004,0)))</f>
        <v/>
      </c>
      <c r="Q548" t="str">
        <f>IF(N548="","",IF(P548=0,SUMIFS(Calcoli!$C$7:$C$21,Calcoli!$A$7:$A$21,C548),INDEX($S$5:$S$1004,P548)))</f>
        <v/>
      </c>
      <c r="R548" t="str">
        <f>IF(N548="","",IF(P548=0,SUMIFS(Calcoli!$D$7:$D$21,Calcoli!$A$7:$A$21,C548),INDEX($T$5:$T$1004,P548)))</f>
        <v/>
      </c>
      <c r="S548" t="str">
        <f>IF(N548="","",IF(B548="Acquisto",Q548+N(D548),MAX(0,Q548-N(D548))))</f>
        <v/>
      </c>
      <c r="T548" t="str">
        <f>IF(N548="","",IF(B548="Acquisto",R548+J548+N(G548),IF(Q548&lt;=0,0,R548*(1-MIN(1,N(D548)/Q548)))))</f>
        <v/>
      </c>
      <c r="U548" t="str">
        <f>IF(B548&lt;&gt;"Vendita","",J548-N(G548)-IF(Q548&lt;=0,0,R548*MIN(1,N(D548)/Q548)))</f>
        <v/>
      </c>
      <c r="V548" t="str">
        <f>IF(B548&lt;&gt;"Dividendo","",IF(Calcoli!$B$251=1,J548,L548))</f>
        <v/>
      </c>
      <c r="W548" t="str">
        <f>IF(AND(V548&lt;&gt;"",ISNUMBER(A548)),A548,"")</f>
        <v/>
      </c>
    </row>
    <row r="549">
      <c r="A549" s="134" t="n"/>
      <c r="B549" s="116" t="n"/>
      <c r="C549" s="116" t="n"/>
      <c r="D549" s="121" t="n"/>
      <c r="E549" s="120" t="n"/>
      <c r="F549" s="120" t="n"/>
      <c r="G549" s="120" t="n"/>
      <c r="H549" s="120" t="n"/>
      <c r="I549" s="117" t="n"/>
      <c r="J549" s="123" t="str">
        <f>IF(B549="","",IF(F549&lt;&gt;"",N(F549),ROUND(N(D549)*N(E549),2)))</f>
        <v/>
      </c>
      <c r="K549" s="123" t="str">
        <f>IF(B549="","",IF(H549&lt;&gt;"",N(H549),IF(B549="Dividendo",ROUND(J549*IFERROR(INDEX(Calcoli!$V$7:$V$21,MATCH(C549,Calcoli!$A$7:$A$21,0)),0.26),2),IF(B549="Vendita",ROUND(MAX(0,U549)*IFERROR(INDEX(Calcoli!$V$7:$V$21,MATCH(C549,Calcoli!$A$7:$A$21,0)),0.26),2),0))))</f>
        <v/>
      </c>
      <c r="L549" s="135" t="str">
        <f>IF(B549="","",IF(B549="Acquisto",-(J549+N(G549)),J549-N(G549)-K549))</f>
        <v/>
      </c>
      <c r="M549" s="127" t="str">
        <f>IF(B549="","",IF(ISNA(MATCH(C549,ETF!$A$7:$A$21,0)),"ETF?",IF(NOT(ISNUMBER(A549)),"Data?",IF(AND(B549&lt;&gt;"Dividendo",N(D549)&lt;=0),"Quote?",IF(AND(B549="Vendita",N(D549)&gt;N(Q549)+0.000001),"Quote?",IF(J549&lt;=0,"Importo?","✓"))))))</f>
        <v/>
      </c>
      <c r="N549" t="str">
        <f>IF(OR(B549="Acquisto",B549="Vendita"),COUNTIFS($C$5:C549,C549,$B$5:B549,"Acquisto")+COUNTIFS($C$5:C549,C549,$B$5:B549,"Vendita"),"")</f>
        <v/>
      </c>
      <c r="O549" t="str">
        <f>IF(N549="","",C549&amp;"|"&amp;N549)</f>
        <v/>
      </c>
      <c r="P549" t="str">
        <f>IF(N549="","",IF(N549=1,0,MATCH(C549&amp;"|"&amp;(N549-1),$O$5:$O$1004,0)))</f>
        <v/>
      </c>
      <c r="Q549" t="str">
        <f>IF(N549="","",IF(P549=0,SUMIFS(Calcoli!$C$7:$C$21,Calcoli!$A$7:$A$21,C549),INDEX($S$5:$S$1004,P549)))</f>
        <v/>
      </c>
      <c r="R549" t="str">
        <f>IF(N549="","",IF(P549=0,SUMIFS(Calcoli!$D$7:$D$21,Calcoli!$A$7:$A$21,C549),INDEX($T$5:$T$1004,P549)))</f>
        <v/>
      </c>
      <c r="S549" t="str">
        <f>IF(N549="","",IF(B549="Acquisto",Q549+N(D549),MAX(0,Q549-N(D549))))</f>
        <v/>
      </c>
      <c r="T549" t="str">
        <f>IF(N549="","",IF(B549="Acquisto",R549+J549+N(G549),IF(Q549&lt;=0,0,R549*(1-MIN(1,N(D549)/Q549)))))</f>
        <v/>
      </c>
      <c r="U549" t="str">
        <f>IF(B549&lt;&gt;"Vendita","",J549-N(G549)-IF(Q549&lt;=0,0,R549*MIN(1,N(D549)/Q549)))</f>
        <v/>
      </c>
      <c r="V549" t="str">
        <f>IF(B549&lt;&gt;"Dividendo","",IF(Calcoli!$B$251=1,J549,L549))</f>
        <v/>
      </c>
      <c r="W549" t="str">
        <f>IF(AND(V549&lt;&gt;"",ISNUMBER(A549)),A549,"")</f>
        <v/>
      </c>
    </row>
    <row r="550">
      <c r="A550" s="134" t="n"/>
      <c r="B550" s="116" t="n"/>
      <c r="C550" s="116" t="n"/>
      <c r="D550" s="121" t="n"/>
      <c r="E550" s="120" t="n"/>
      <c r="F550" s="120" t="n"/>
      <c r="G550" s="120" t="n"/>
      <c r="H550" s="120" t="n"/>
      <c r="I550" s="117" t="n"/>
      <c r="J550" s="123" t="str">
        <f>IF(B550="","",IF(F550&lt;&gt;"",N(F550),ROUND(N(D550)*N(E550),2)))</f>
        <v/>
      </c>
      <c r="K550" s="123" t="str">
        <f>IF(B550="","",IF(H550&lt;&gt;"",N(H550),IF(B550="Dividendo",ROUND(J550*IFERROR(INDEX(Calcoli!$V$7:$V$21,MATCH(C550,Calcoli!$A$7:$A$21,0)),0.26),2),IF(B550="Vendita",ROUND(MAX(0,U550)*IFERROR(INDEX(Calcoli!$V$7:$V$21,MATCH(C550,Calcoli!$A$7:$A$21,0)),0.26),2),0))))</f>
        <v/>
      </c>
      <c r="L550" s="135" t="str">
        <f>IF(B550="","",IF(B550="Acquisto",-(J550+N(G550)),J550-N(G550)-K550))</f>
        <v/>
      </c>
      <c r="M550" s="127" t="str">
        <f>IF(B550="","",IF(ISNA(MATCH(C550,ETF!$A$7:$A$21,0)),"ETF?",IF(NOT(ISNUMBER(A550)),"Data?",IF(AND(B550&lt;&gt;"Dividendo",N(D550)&lt;=0),"Quote?",IF(AND(B550="Vendita",N(D550)&gt;N(Q550)+0.000001),"Quote?",IF(J550&lt;=0,"Importo?","✓"))))))</f>
        <v/>
      </c>
      <c r="N550" t="str">
        <f>IF(OR(B550="Acquisto",B550="Vendita"),COUNTIFS($C$5:C550,C550,$B$5:B550,"Acquisto")+COUNTIFS($C$5:C550,C550,$B$5:B550,"Vendita"),"")</f>
        <v/>
      </c>
      <c r="O550" t="str">
        <f>IF(N550="","",C550&amp;"|"&amp;N550)</f>
        <v/>
      </c>
      <c r="P550" t="str">
        <f>IF(N550="","",IF(N550=1,0,MATCH(C550&amp;"|"&amp;(N550-1),$O$5:$O$1004,0)))</f>
        <v/>
      </c>
      <c r="Q550" t="str">
        <f>IF(N550="","",IF(P550=0,SUMIFS(Calcoli!$C$7:$C$21,Calcoli!$A$7:$A$21,C550),INDEX($S$5:$S$1004,P550)))</f>
        <v/>
      </c>
      <c r="R550" t="str">
        <f>IF(N550="","",IF(P550=0,SUMIFS(Calcoli!$D$7:$D$21,Calcoli!$A$7:$A$21,C550),INDEX($T$5:$T$1004,P550)))</f>
        <v/>
      </c>
      <c r="S550" t="str">
        <f>IF(N550="","",IF(B550="Acquisto",Q550+N(D550),MAX(0,Q550-N(D550))))</f>
        <v/>
      </c>
      <c r="T550" t="str">
        <f>IF(N550="","",IF(B550="Acquisto",R550+J550+N(G550),IF(Q550&lt;=0,0,R550*(1-MIN(1,N(D550)/Q550)))))</f>
        <v/>
      </c>
      <c r="U550" t="str">
        <f>IF(B550&lt;&gt;"Vendita","",J550-N(G550)-IF(Q550&lt;=0,0,R550*MIN(1,N(D550)/Q550)))</f>
        <v/>
      </c>
      <c r="V550" t="str">
        <f>IF(B550&lt;&gt;"Dividendo","",IF(Calcoli!$B$251=1,J550,L550))</f>
        <v/>
      </c>
      <c r="W550" t="str">
        <f>IF(AND(V550&lt;&gt;"",ISNUMBER(A550)),A550,"")</f>
        <v/>
      </c>
    </row>
    <row r="551">
      <c r="A551" s="134" t="n"/>
      <c r="B551" s="116" t="n"/>
      <c r="C551" s="116" t="n"/>
      <c r="D551" s="121" t="n"/>
      <c r="E551" s="120" t="n"/>
      <c r="F551" s="120" t="n"/>
      <c r="G551" s="120" t="n"/>
      <c r="H551" s="120" t="n"/>
      <c r="I551" s="117" t="n"/>
      <c r="J551" s="123" t="str">
        <f>IF(B551="","",IF(F551&lt;&gt;"",N(F551),ROUND(N(D551)*N(E551),2)))</f>
        <v/>
      </c>
      <c r="K551" s="123" t="str">
        <f>IF(B551="","",IF(H551&lt;&gt;"",N(H551),IF(B551="Dividendo",ROUND(J551*IFERROR(INDEX(Calcoli!$V$7:$V$21,MATCH(C551,Calcoli!$A$7:$A$21,0)),0.26),2),IF(B551="Vendita",ROUND(MAX(0,U551)*IFERROR(INDEX(Calcoli!$V$7:$V$21,MATCH(C551,Calcoli!$A$7:$A$21,0)),0.26),2),0))))</f>
        <v/>
      </c>
      <c r="L551" s="135" t="str">
        <f>IF(B551="","",IF(B551="Acquisto",-(J551+N(G551)),J551-N(G551)-K551))</f>
        <v/>
      </c>
      <c r="M551" s="127" t="str">
        <f>IF(B551="","",IF(ISNA(MATCH(C551,ETF!$A$7:$A$21,0)),"ETF?",IF(NOT(ISNUMBER(A551)),"Data?",IF(AND(B551&lt;&gt;"Dividendo",N(D551)&lt;=0),"Quote?",IF(AND(B551="Vendita",N(D551)&gt;N(Q551)+0.000001),"Quote?",IF(J551&lt;=0,"Importo?","✓"))))))</f>
        <v/>
      </c>
      <c r="N551" t="str">
        <f>IF(OR(B551="Acquisto",B551="Vendita"),COUNTIFS($C$5:C551,C551,$B$5:B551,"Acquisto")+COUNTIFS($C$5:C551,C551,$B$5:B551,"Vendita"),"")</f>
        <v/>
      </c>
      <c r="O551" t="str">
        <f>IF(N551="","",C551&amp;"|"&amp;N551)</f>
        <v/>
      </c>
      <c r="P551" t="str">
        <f>IF(N551="","",IF(N551=1,0,MATCH(C551&amp;"|"&amp;(N551-1),$O$5:$O$1004,0)))</f>
        <v/>
      </c>
      <c r="Q551" t="str">
        <f>IF(N551="","",IF(P551=0,SUMIFS(Calcoli!$C$7:$C$21,Calcoli!$A$7:$A$21,C551),INDEX($S$5:$S$1004,P551)))</f>
        <v/>
      </c>
      <c r="R551" t="str">
        <f>IF(N551="","",IF(P551=0,SUMIFS(Calcoli!$D$7:$D$21,Calcoli!$A$7:$A$21,C551),INDEX($T$5:$T$1004,P551)))</f>
        <v/>
      </c>
      <c r="S551" t="str">
        <f>IF(N551="","",IF(B551="Acquisto",Q551+N(D551),MAX(0,Q551-N(D551))))</f>
        <v/>
      </c>
      <c r="T551" t="str">
        <f>IF(N551="","",IF(B551="Acquisto",R551+J551+N(G551),IF(Q551&lt;=0,0,R551*(1-MIN(1,N(D551)/Q551)))))</f>
        <v/>
      </c>
      <c r="U551" t="str">
        <f>IF(B551&lt;&gt;"Vendita","",J551-N(G551)-IF(Q551&lt;=0,0,R551*MIN(1,N(D551)/Q551)))</f>
        <v/>
      </c>
      <c r="V551" t="str">
        <f>IF(B551&lt;&gt;"Dividendo","",IF(Calcoli!$B$251=1,J551,L551))</f>
        <v/>
      </c>
      <c r="W551" t="str">
        <f>IF(AND(V551&lt;&gt;"",ISNUMBER(A551)),A551,"")</f>
        <v/>
      </c>
    </row>
    <row r="552">
      <c r="A552" s="134" t="n"/>
      <c r="B552" s="116" t="n"/>
      <c r="C552" s="116" t="n"/>
      <c r="D552" s="121" t="n"/>
      <c r="E552" s="120" t="n"/>
      <c r="F552" s="120" t="n"/>
      <c r="G552" s="120" t="n"/>
      <c r="H552" s="120" t="n"/>
      <c r="I552" s="117" t="n"/>
      <c r="J552" s="123" t="str">
        <f>IF(B552="","",IF(F552&lt;&gt;"",N(F552),ROUND(N(D552)*N(E552),2)))</f>
        <v/>
      </c>
      <c r="K552" s="123" t="str">
        <f>IF(B552="","",IF(H552&lt;&gt;"",N(H552),IF(B552="Dividendo",ROUND(J552*IFERROR(INDEX(Calcoli!$V$7:$V$21,MATCH(C552,Calcoli!$A$7:$A$21,0)),0.26),2),IF(B552="Vendita",ROUND(MAX(0,U552)*IFERROR(INDEX(Calcoli!$V$7:$V$21,MATCH(C552,Calcoli!$A$7:$A$21,0)),0.26),2),0))))</f>
        <v/>
      </c>
      <c r="L552" s="135" t="str">
        <f>IF(B552="","",IF(B552="Acquisto",-(J552+N(G552)),J552-N(G552)-K552))</f>
        <v/>
      </c>
      <c r="M552" s="127" t="str">
        <f>IF(B552="","",IF(ISNA(MATCH(C552,ETF!$A$7:$A$21,0)),"ETF?",IF(NOT(ISNUMBER(A552)),"Data?",IF(AND(B552&lt;&gt;"Dividendo",N(D552)&lt;=0),"Quote?",IF(AND(B552="Vendita",N(D552)&gt;N(Q552)+0.000001),"Quote?",IF(J552&lt;=0,"Importo?","✓"))))))</f>
        <v/>
      </c>
      <c r="N552" t="str">
        <f>IF(OR(B552="Acquisto",B552="Vendita"),COUNTIFS($C$5:C552,C552,$B$5:B552,"Acquisto")+COUNTIFS($C$5:C552,C552,$B$5:B552,"Vendita"),"")</f>
        <v/>
      </c>
      <c r="O552" t="str">
        <f>IF(N552="","",C552&amp;"|"&amp;N552)</f>
        <v/>
      </c>
      <c r="P552" t="str">
        <f>IF(N552="","",IF(N552=1,0,MATCH(C552&amp;"|"&amp;(N552-1),$O$5:$O$1004,0)))</f>
        <v/>
      </c>
      <c r="Q552" t="str">
        <f>IF(N552="","",IF(P552=0,SUMIFS(Calcoli!$C$7:$C$21,Calcoli!$A$7:$A$21,C552),INDEX($S$5:$S$1004,P552)))</f>
        <v/>
      </c>
      <c r="R552" t="str">
        <f>IF(N552="","",IF(P552=0,SUMIFS(Calcoli!$D$7:$D$21,Calcoli!$A$7:$A$21,C552),INDEX($T$5:$T$1004,P552)))</f>
        <v/>
      </c>
      <c r="S552" t="str">
        <f>IF(N552="","",IF(B552="Acquisto",Q552+N(D552),MAX(0,Q552-N(D552))))</f>
        <v/>
      </c>
      <c r="T552" t="str">
        <f>IF(N552="","",IF(B552="Acquisto",R552+J552+N(G552),IF(Q552&lt;=0,0,R552*(1-MIN(1,N(D552)/Q552)))))</f>
        <v/>
      </c>
      <c r="U552" t="str">
        <f>IF(B552&lt;&gt;"Vendita","",J552-N(G552)-IF(Q552&lt;=0,0,R552*MIN(1,N(D552)/Q552)))</f>
        <v/>
      </c>
      <c r="V552" t="str">
        <f>IF(B552&lt;&gt;"Dividendo","",IF(Calcoli!$B$251=1,J552,L552))</f>
        <v/>
      </c>
      <c r="W552" t="str">
        <f>IF(AND(V552&lt;&gt;"",ISNUMBER(A552)),A552,"")</f>
        <v/>
      </c>
    </row>
    <row r="553">
      <c r="A553" s="134" t="n"/>
      <c r="B553" s="116" t="n"/>
      <c r="C553" s="116" t="n"/>
      <c r="D553" s="121" t="n"/>
      <c r="E553" s="120" t="n"/>
      <c r="F553" s="120" t="n"/>
      <c r="G553" s="120" t="n"/>
      <c r="H553" s="120" t="n"/>
      <c r="I553" s="117" t="n"/>
      <c r="J553" s="123" t="str">
        <f>IF(B553="","",IF(F553&lt;&gt;"",N(F553),ROUND(N(D553)*N(E553),2)))</f>
        <v/>
      </c>
      <c r="K553" s="123" t="str">
        <f>IF(B553="","",IF(H553&lt;&gt;"",N(H553),IF(B553="Dividendo",ROUND(J553*IFERROR(INDEX(Calcoli!$V$7:$V$21,MATCH(C553,Calcoli!$A$7:$A$21,0)),0.26),2),IF(B553="Vendita",ROUND(MAX(0,U553)*IFERROR(INDEX(Calcoli!$V$7:$V$21,MATCH(C553,Calcoli!$A$7:$A$21,0)),0.26),2),0))))</f>
        <v/>
      </c>
      <c r="L553" s="135" t="str">
        <f>IF(B553="","",IF(B553="Acquisto",-(J553+N(G553)),J553-N(G553)-K553))</f>
        <v/>
      </c>
      <c r="M553" s="127" t="str">
        <f>IF(B553="","",IF(ISNA(MATCH(C553,ETF!$A$7:$A$21,0)),"ETF?",IF(NOT(ISNUMBER(A553)),"Data?",IF(AND(B553&lt;&gt;"Dividendo",N(D553)&lt;=0),"Quote?",IF(AND(B553="Vendita",N(D553)&gt;N(Q553)+0.000001),"Quote?",IF(J553&lt;=0,"Importo?","✓"))))))</f>
        <v/>
      </c>
      <c r="N553" t="str">
        <f>IF(OR(B553="Acquisto",B553="Vendita"),COUNTIFS($C$5:C553,C553,$B$5:B553,"Acquisto")+COUNTIFS($C$5:C553,C553,$B$5:B553,"Vendita"),"")</f>
        <v/>
      </c>
      <c r="O553" t="str">
        <f>IF(N553="","",C553&amp;"|"&amp;N553)</f>
        <v/>
      </c>
      <c r="P553" t="str">
        <f>IF(N553="","",IF(N553=1,0,MATCH(C553&amp;"|"&amp;(N553-1),$O$5:$O$1004,0)))</f>
        <v/>
      </c>
      <c r="Q553" t="str">
        <f>IF(N553="","",IF(P553=0,SUMIFS(Calcoli!$C$7:$C$21,Calcoli!$A$7:$A$21,C553),INDEX($S$5:$S$1004,P553)))</f>
        <v/>
      </c>
      <c r="R553" t="str">
        <f>IF(N553="","",IF(P553=0,SUMIFS(Calcoli!$D$7:$D$21,Calcoli!$A$7:$A$21,C553),INDEX($T$5:$T$1004,P553)))</f>
        <v/>
      </c>
      <c r="S553" t="str">
        <f>IF(N553="","",IF(B553="Acquisto",Q553+N(D553),MAX(0,Q553-N(D553))))</f>
        <v/>
      </c>
      <c r="T553" t="str">
        <f>IF(N553="","",IF(B553="Acquisto",R553+J553+N(G553),IF(Q553&lt;=0,0,R553*(1-MIN(1,N(D553)/Q553)))))</f>
        <v/>
      </c>
      <c r="U553" t="str">
        <f>IF(B553&lt;&gt;"Vendita","",J553-N(G553)-IF(Q553&lt;=0,0,R553*MIN(1,N(D553)/Q553)))</f>
        <v/>
      </c>
      <c r="V553" t="str">
        <f>IF(B553&lt;&gt;"Dividendo","",IF(Calcoli!$B$251=1,J553,L553))</f>
        <v/>
      </c>
      <c r="W553" t="str">
        <f>IF(AND(V553&lt;&gt;"",ISNUMBER(A553)),A553,"")</f>
        <v/>
      </c>
    </row>
    <row r="554">
      <c r="A554" s="134" t="n"/>
      <c r="B554" s="116" t="n"/>
      <c r="C554" s="116" t="n"/>
      <c r="D554" s="121" t="n"/>
      <c r="E554" s="120" t="n"/>
      <c r="F554" s="120" t="n"/>
      <c r="G554" s="120" t="n"/>
      <c r="H554" s="120" t="n"/>
      <c r="I554" s="117" t="n"/>
      <c r="J554" s="123" t="str">
        <f>IF(B554="","",IF(F554&lt;&gt;"",N(F554),ROUND(N(D554)*N(E554),2)))</f>
        <v/>
      </c>
      <c r="K554" s="123" t="str">
        <f>IF(B554="","",IF(H554&lt;&gt;"",N(H554),IF(B554="Dividendo",ROUND(J554*IFERROR(INDEX(Calcoli!$V$7:$V$21,MATCH(C554,Calcoli!$A$7:$A$21,0)),0.26),2),IF(B554="Vendita",ROUND(MAX(0,U554)*IFERROR(INDEX(Calcoli!$V$7:$V$21,MATCH(C554,Calcoli!$A$7:$A$21,0)),0.26),2),0))))</f>
        <v/>
      </c>
      <c r="L554" s="135" t="str">
        <f>IF(B554="","",IF(B554="Acquisto",-(J554+N(G554)),J554-N(G554)-K554))</f>
        <v/>
      </c>
      <c r="M554" s="127" t="str">
        <f>IF(B554="","",IF(ISNA(MATCH(C554,ETF!$A$7:$A$21,0)),"ETF?",IF(NOT(ISNUMBER(A554)),"Data?",IF(AND(B554&lt;&gt;"Dividendo",N(D554)&lt;=0),"Quote?",IF(AND(B554="Vendita",N(D554)&gt;N(Q554)+0.000001),"Quote?",IF(J554&lt;=0,"Importo?","✓"))))))</f>
        <v/>
      </c>
      <c r="N554" t="str">
        <f>IF(OR(B554="Acquisto",B554="Vendita"),COUNTIFS($C$5:C554,C554,$B$5:B554,"Acquisto")+COUNTIFS($C$5:C554,C554,$B$5:B554,"Vendita"),"")</f>
        <v/>
      </c>
      <c r="O554" t="str">
        <f>IF(N554="","",C554&amp;"|"&amp;N554)</f>
        <v/>
      </c>
      <c r="P554" t="str">
        <f>IF(N554="","",IF(N554=1,0,MATCH(C554&amp;"|"&amp;(N554-1),$O$5:$O$1004,0)))</f>
        <v/>
      </c>
      <c r="Q554" t="str">
        <f>IF(N554="","",IF(P554=0,SUMIFS(Calcoli!$C$7:$C$21,Calcoli!$A$7:$A$21,C554),INDEX($S$5:$S$1004,P554)))</f>
        <v/>
      </c>
      <c r="R554" t="str">
        <f>IF(N554="","",IF(P554=0,SUMIFS(Calcoli!$D$7:$D$21,Calcoli!$A$7:$A$21,C554),INDEX($T$5:$T$1004,P554)))</f>
        <v/>
      </c>
      <c r="S554" t="str">
        <f>IF(N554="","",IF(B554="Acquisto",Q554+N(D554),MAX(0,Q554-N(D554))))</f>
        <v/>
      </c>
      <c r="T554" t="str">
        <f>IF(N554="","",IF(B554="Acquisto",R554+J554+N(G554),IF(Q554&lt;=0,0,R554*(1-MIN(1,N(D554)/Q554)))))</f>
        <v/>
      </c>
      <c r="U554" t="str">
        <f>IF(B554&lt;&gt;"Vendita","",J554-N(G554)-IF(Q554&lt;=0,0,R554*MIN(1,N(D554)/Q554)))</f>
        <v/>
      </c>
      <c r="V554" t="str">
        <f>IF(B554&lt;&gt;"Dividendo","",IF(Calcoli!$B$251=1,J554,L554))</f>
        <v/>
      </c>
      <c r="W554" t="str">
        <f>IF(AND(V554&lt;&gt;"",ISNUMBER(A554)),A554,"")</f>
        <v/>
      </c>
    </row>
    <row r="555">
      <c r="A555" s="134" t="n"/>
      <c r="B555" s="116" t="n"/>
      <c r="C555" s="116" t="n"/>
      <c r="D555" s="121" t="n"/>
      <c r="E555" s="120" t="n"/>
      <c r="F555" s="120" t="n"/>
      <c r="G555" s="120" t="n"/>
      <c r="H555" s="120" t="n"/>
      <c r="I555" s="117" t="n"/>
      <c r="J555" s="123" t="str">
        <f>IF(B555="","",IF(F555&lt;&gt;"",N(F555),ROUND(N(D555)*N(E555),2)))</f>
        <v/>
      </c>
      <c r="K555" s="123" t="str">
        <f>IF(B555="","",IF(H555&lt;&gt;"",N(H555),IF(B555="Dividendo",ROUND(J555*IFERROR(INDEX(Calcoli!$V$7:$V$21,MATCH(C555,Calcoli!$A$7:$A$21,0)),0.26),2),IF(B555="Vendita",ROUND(MAX(0,U555)*IFERROR(INDEX(Calcoli!$V$7:$V$21,MATCH(C555,Calcoli!$A$7:$A$21,0)),0.26),2),0))))</f>
        <v/>
      </c>
      <c r="L555" s="135" t="str">
        <f>IF(B555="","",IF(B555="Acquisto",-(J555+N(G555)),J555-N(G555)-K555))</f>
        <v/>
      </c>
      <c r="M555" s="127" t="str">
        <f>IF(B555="","",IF(ISNA(MATCH(C555,ETF!$A$7:$A$21,0)),"ETF?",IF(NOT(ISNUMBER(A555)),"Data?",IF(AND(B555&lt;&gt;"Dividendo",N(D555)&lt;=0),"Quote?",IF(AND(B555="Vendita",N(D555)&gt;N(Q555)+0.000001),"Quote?",IF(J555&lt;=0,"Importo?","✓"))))))</f>
        <v/>
      </c>
      <c r="N555" t="str">
        <f>IF(OR(B555="Acquisto",B555="Vendita"),COUNTIFS($C$5:C555,C555,$B$5:B555,"Acquisto")+COUNTIFS($C$5:C555,C555,$B$5:B555,"Vendita"),"")</f>
        <v/>
      </c>
      <c r="O555" t="str">
        <f>IF(N555="","",C555&amp;"|"&amp;N555)</f>
        <v/>
      </c>
      <c r="P555" t="str">
        <f>IF(N555="","",IF(N555=1,0,MATCH(C555&amp;"|"&amp;(N555-1),$O$5:$O$1004,0)))</f>
        <v/>
      </c>
      <c r="Q555" t="str">
        <f>IF(N555="","",IF(P555=0,SUMIFS(Calcoli!$C$7:$C$21,Calcoli!$A$7:$A$21,C555),INDEX($S$5:$S$1004,P555)))</f>
        <v/>
      </c>
      <c r="R555" t="str">
        <f>IF(N555="","",IF(P555=0,SUMIFS(Calcoli!$D$7:$D$21,Calcoli!$A$7:$A$21,C555),INDEX($T$5:$T$1004,P555)))</f>
        <v/>
      </c>
      <c r="S555" t="str">
        <f>IF(N555="","",IF(B555="Acquisto",Q555+N(D555),MAX(0,Q555-N(D555))))</f>
        <v/>
      </c>
      <c r="T555" t="str">
        <f>IF(N555="","",IF(B555="Acquisto",R555+J555+N(G555),IF(Q555&lt;=0,0,R555*(1-MIN(1,N(D555)/Q555)))))</f>
        <v/>
      </c>
      <c r="U555" t="str">
        <f>IF(B555&lt;&gt;"Vendita","",J555-N(G555)-IF(Q555&lt;=0,0,R555*MIN(1,N(D555)/Q555)))</f>
        <v/>
      </c>
      <c r="V555" t="str">
        <f>IF(B555&lt;&gt;"Dividendo","",IF(Calcoli!$B$251=1,J555,L555))</f>
        <v/>
      </c>
      <c r="W555" t="str">
        <f>IF(AND(V555&lt;&gt;"",ISNUMBER(A555)),A555,"")</f>
        <v/>
      </c>
    </row>
    <row r="556">
      <c r="A556" s="134" t="n"/>
      <c r="B556" s="116" t="n"/>
      <c r="C556" s="116" t="n"/>
      <c r="D556" s="121" t="n"/>
      <c r="E556" s="120" t="n"/>
      <c r="F556" s="120" t="n"/>
      <c r="G556" s="120" t="n"/>
      <c r="H556" s="120" t="n"/>
      <c r="I556" s="117" t="n"/>
      <c r="J556" s="123" t="str">
        <f>IF(B556="","",IF(F556&lt;&gt;"",N(F556),ROUND(N(D556)*N(E556),2)))</f>
        <v/>
      </c>
      <c r="K556" s="123" t="str">
        <f>IF(B556="","",IF(H556&lt;&gt;"",N(H556),IF(B556="Dividendo",ROUND(J556*IFERROR(INDEX(Calcoli!$V$7:$V$21,MATCH(C556,Calcoli!$A$7:$A$21,0)),0.26),2),IF(B556="Vendita",ROUND(MAX(0,U556)*IFERROR(INDEX(Calcoli!$V$7:$V$21,MATCH(C556,Calcoli!$A$7:$A$21,0)),0.26),2),0))))</f>
        <v/>
      </c>
      <c r="L556" s="135" t="str">
        <f>IF(B556="","",IF(B556="Acquisto",-(J556+N(G556)),J556-N(G556)-K556))</f>
        <v/>
      </c>
      <c r="M556" s="127" t="str">
        <f>IF(B556="","",IF(ISNA(MATCH(C556,ETF!$A$7:$A$21,0)),"ETF?",IF(NOT(ISNUMBER(A556)),"Data?",IF(AND(B556&lt;&gt;"Dividendo",N(D556)&lt;=0),"Quote?",IF(AND(B556="Vendita",N(D556)&gt;N(Q556)+0.000001),"Quote?",IF(J556&lt;=0,"Importo?","✓"))))))</f>
        <v/>
      </c>
      <c r="N556" t="str">
        <f>IF(OR(B556="Acquisto",B556="Vendita"),COUNTIFS($C$5:C556,C556,$B$5:B556,"Acquisto")+COUNTIFS($C$5:C556,C556,$B$5:B556,"Vendita"),"")</f>
        <v/>
      </c>
      <c r="O556" t="str">
        <f>IF(N556="","",C556&amp;"|"&amp;N556)</f>
        <v/>
      </c>
      <c r="P556" t="str">
        <f>IF(N556="","",IF(N556=1,0,MATCH(C556&amp;"|"&amp;(N556-1),$O$5:$O$1004,0)))</f>
        <v/>
      </c>
      <c r="Q556" t="str">
        <f>IF(N556="","",IF(P556=0,SUMIFS(Calcoli!$C$7:$C$21,Calcoli!$A$7:$A$21,C556),INDEX($S$5:$S$1004,P556)))</f>
        <v/>
      </c>
      <c r="R556" t="str">
        <f>IF(N556="","",IF(P556=0,SUMIFS(Calcoli!$D$7:$D$21,Calcoli!$A$7:$A$21,C556),INDEX($T$5:$T$1004,P556)))</f>
        <v/>
      </c>
      <c r="S556" t="str">
        <f>IF(N556="","",IF(B556="Acquisto",Q556+N(D556),MAX(0,Q556-N(D556))))</f>
        <v/>
      </c>
      <c r="T556" t="str">
        <f>IF(N556="","",IF(B556="Acquisto",R556+J556+N(G556),IF(Q556&lt;=0,0,R556*(1-MIN(1,N(D556)/Q556)))))</f>
        <v/>
      </c>
      <c r="U556" t="str">
        <f>IF(B556&lt;&gt;"Vendita","",J556-N(G556)-IF(Q556&lt;=0,0,R556*MIN(1,N(D556)/Q556)))</f>
        <v/>
      </c>
      <c r="V556" t="str">
        <f>IF(B556&lt;&gt;"Dividendo","",IF(Calcoli!$B$251=1,J556,L556))</f>
        <v/>
      </c>
      <c r="W556" t="str">
        <f>IF(AND(V556&lt;&gt;"",ISNUMBER(A556)),A556,"")</f>
        <v/>
      </c>
    </row>
    <row r="557">
      <c r="A557" s="134" t="n"/>
      <c r="B557" s="116" t="n"/>
      <c r="C557" s="116" t="n"/>
      <c r="D557" s="121" t="n"/>
      <c r="E557" s="120" t="n"/>
      <c r="F557" s="120" t="n"/>
      <c r="G557" s="120" t="n"/>
      <c r="H557" s="120" t="n"/>
      <c r="I557" s="117" t="n"/>
      <c r="J557" s="123" t="str">
        <f>IF(B557="","",IF(F557&lt;&gt;"",N(F557),ROUND(N(D557)*N(E557),2)))</f>
        <v/>
      </c>
      <c r="K557" s="123" t="str">
        <f>IF(B557="","",IF(H557&lt;&gt;"",N(H557),IF(B557="Dividendo",ROUND(J557*IFERROR(INDEX(Calcoli!$V$7:$V$21,MATCH(C557,Calcoli!$A$7:$A$21,0)),0.26),2),IF(B557="Vendita",ROUND(MAX(0,U557)*IFERROR(INDEX(Calcoli!$V$7:$V$21,MATCH(C557,Calcoli!$A$7:$A$21,0)),0.26),2),0))))</f>
        <v/>
      </c>
      <c r="L557" s="135" t="str">
        <f>IF(B557="","",IF(B557="Acquisto",-(J557+N(G557)),J557-N(G557)-K557))</f>
        <v/>
      </c>
      <c r="M557" s="127" t="str">
        <f>IF(B557="","",IF(ISNA(MATCH(C557,ETF!$A$7:$A$21,0)),"ETF?",IF(NOT(ISNUMBER(A557)),"Data?",IF(AND(B557&lt;&gt;"Dividendo",N(D557)&lt;=0),"Quote?",IF(AND(B557="Vendita",N(D557)&gt;N(Q557)+0.000001),"Quote?",IF(J557&lt;=0,"Importo?","✓"))))))</f>
        <v/>
      </c>
      <c r="N557" t="str">
        <f>IF(OR(B557="Acquisto",B557="Vendita"),COUNTIFS($C$5:C557,C557,$B$5:B557,"Acquisto")+COUNTIFS($C$5:C557,C557,$B$5:B557,"Vendita"),"")</f>
        <v/>
      </c>
      <c r="O557" t="str">
        <f>IF(N557="","",C557&amp;"|"&amp;N557)</f>
        <v/>
      </c>
      <c r="P557" t="str">
        <f>IF(N557="","",IF(N557=1,0,MATCH(C557&amp;"|"&amp;(N557-1),$O$5:$O$1004,0)))</f>
        <v/>
      </c>
      <c r="Q557" t="str">
        <f>IF(N557="","",IF(P557=0,SUMIFS(Calcoli!$C$7:$C$21,Calcoli!$A$7:$A$21,C557),INDEX($S$5:$S$1004,P557)))</f>
        <v/>
      </c>
      <c r="R557" t="str">
        <f>IF(N557="","",IF(P557=0,SUMIFS(Calcoli!$D$7:$D$21,Calcoli!$A$7:$A$21,C557),INDEX($T$5:$T$1004,P557)))</f>
        <v/>
      </c>
      <c r="S557" t="str">
        <f>IF(N557="","",IF(B557="Acquisto",Q557+N(D557),MAX(0,Q557-N(D557))))</f>
        <v/>
      </c>
      <c r="T557" t="str">
        <f>IF(N557="","",IF(B557="Acquisto",R557+J557+N(G557),IF(Q557&lt;=0,0,R557*(1-MIN(1,N(D557)/Q557)))))</f>
        <v/>
      </c>
      <c r="U557" t="str">
        <f>IF(B557&lt;&gt;"Vendita","",J557-N(G557)-IF(Q557&lt;=0,0,R557*MIN(1,N(D557)/Q557)))</f>
        <v/>
      </c>
      <c r="V557" t="str">
        <f>IF(B557&lt;&gt;"Dividendo","",IF(Calcoli!$B$251=1,J557,L557))</f>
        <v/>
      </c>
      <c r="W557" t="str">
        <f>IF(AND(V557&lt;&gt;"",ISNUMBER(A557)),A557,"")</f>
        <v/>
      </c>
    </row>
    <row r="558">
      <c r="A558" s="134" t="n"/>
      <c r="B558" s="116" t="n"/>
      <c r="C558" s="116" t="n"/>
      <c r="D558" s="121" t="n"/>
      <c r="E558" s="120" t="n"/>
      <c r="F558" s="120" t="n"/>
      <c r="G558" s="120" t="n"/>
      <c r="H558" s="120" t="n"/>
      <c r="I558" s="117" t="n"/>
      <c r="J558" s="123" t="str">
        <f>IF(B558="","",IF(F558&lt;&gt;"",N(F558),ROUND(N(D558)*N(E558),2)))</f>
        <v/>
      </c>
      <c r="K558" s="123" t="str">
        <f>IF(B558="","",IF(H558&lt;&gt;"",N(H558),IF(B558="Dividendo",ROUND(J558*IFERROR(INDEX(Calcoli!$V$7:$V$21,MATCH(C558,Calcoli!$A$7:$A$21,0)),0.26),2),IF(B558="Vendita",ROUND(MAX(0,U558)*IFERROR(INDEX(Calcoli!$V$7:$V$21,MATCH(C558,Calcoli!$A$7:$A$21,0)),0.26),2),0))))</f>
        <v/>
      </c>
      <c r="L558" s="135" t="str">
        <f>IF(B558="","",IF(B558="Acquisto",-(J558+N(G558)),J558-N(G558)-K558))</f>
        <v/>
      </c>
      <c r="M558" s="127" t="str">
        <f>IF(B558="","",IF(ISNA(MATCH(C558,ETF!$A$7:$A$21,0)),"ETF?",IF(NOT(ISNUMBER(A558)),"Data?",IF(AND(B558&lt;&gt;"Dividendo",N(D558)&lt;=0),"Quote?",IF(AND(B558="Vendita",N(D558)&gt;N(Q558)+0.000001),"Quote?",IF(J558&lt;=0,"Importo?","✓"))))))</f>
        <v/>
      </c>
      <c r="N558" t="str">
        <f>IF(OR(B558="Acquisto",B558="Vendita"),COUNTIFS($C$5:C558,C558,$B$5:B558,"Acquisto")+COUNTIFS($C$5:C558,C558,$B$5:B558,"Vendita"),"")</f>
        <v/>
      </c>
      <c r="O558" t="str">
        <f>IF(N558="","",C558&amp;"|"&amp;N558)</f>
        <v/>
      </c>
      <c r="P558" t="str">
        <f>IF(N558="","",IF(N558=1,0,MATCH(C558&amp;"|"&amp;(N558-1),$O$5:$O$1004,0)))</f>
        <v/>
      </c>
      <c r="Q558" t="str">
        <f>IF(N558="","",IF(P558=0,SUMIFS(Calcoli!$C$7:$C$21,Calcoli!$A$7:$A$21,C558),INDEX($S$5:$S$1004,P558)))</f>
        <v/>
      </c>
      <c r="R558" t="str">
        <f>IF(N558="","",IF(P558=0,SUMIFS(Calcoli!$D$7:$D$21,Calcoli!$A$7:$A$21,C558),INDEX($T$5:$T$1004,P558)))</f>
        <v/>
      </c>
      <c r="S558" t="str">
        <f>IF(N558="","",IF(B558="Acquisto",Q558+N(D558),MAX(0,Q558-N(D558))))</f>
        <v/>
      </c>
      <c r="T558" t="str">
        <f>IF(N558="","",IF(B558="Acquisto",R558+J558+N(G558),IF(Q558&lt;=0,0,R558*(1-MIN(1,N(D558)/Q558)))))</f>
        <v/>
      </c>
      <c r="U558" t="str">
        <f>IF(B558&lt;&gt;"Vendita","",J558-N(G558)-IF(Q558&lt;=0,0,R558*MIN(1,N(D558)/Q558)))</f>
        <v/>
      </c>
      <c r="V558" t="str">
        <f>IF(B558&lt;&gt;"Dividendo","",IF(Calcoli!$B$251=1,J558,L558))</f>
        <v/>
      </c>
      <c r="W558" t="str">
        <f>IF(AND(V558&lt;&gt;"",ISNUMBER(A558)),A558,"")</f>
        <v/>
      </c>
    </row>
    <row r="559">
      <c r="A559" s="134" t="n"/>
      <c r="B559" s="116" t="n"/>
      <c r="C559" s="116" t="n"/>
      <c r="D559" s="121" t="n"/>
      <c r="E559" s="120" t="n"/>
      <c r="F559" s="120" t="n"/>
      <c r="G559" s="120" t="n"/>
      <c r="H559" s="120" t="n"/>
      <c r="I559" s="117" t="n"/>
      <c r="J559" s="123" t="str">
        <f>IF(B559="","",IF(F559&lt;&gt;"",N(F559),ROUND(N(D559)*N(E559),2)))</f>
        <v/>
      </c>
      <c r="K559" s="123" t="str">
        <f>IF(B559="","",IF(H559&lt;&gt;"",N(H559),IF(B559="Dividendo",ROUND(J559*IFERROR(INDEX(Calcoli!$V$7:$V$21,MATCH(C559,Calcoli!$A$7:$A$21,0)),0.26),2),IF(B559="Vendita",ROUND(MAX(0,U559)*IFERROR(INDEX(Calcoli!$V$7:$V$21,MATCH(C559,Calcoli!$A$7:$A$21,0)),0.26),2),0))))</f>
        <v/>
      </c>
      <c r="L559" s="135" t="str">
        <f>IF(B559="","",IF(B559="Acquisto",-(J559+N(G559)),J559-N(G559)-K559))</f>
        <v/>
      </c>
      <c r="M559" s="127" t="str">
        <f>IF(B559="","",IF(ISNA(MATCH(C559,ETF!$A$7:$A$21,0)),"ETF?",IF(NOT(ISNUMBER(A559)),"Data?",IF(AND(B559&lt;&gt;"Dividendo",N(D559)&lt;=0),"Quote?",IF(AND(B559="Vendita",N(D559)&gt;N(Q559)+0.000001),"Quote?",IF(J559&lt;=0,"Importo?","✓"))))))</f>
        <v/>
      </c>
      <c r="N559" t="str">
        <f>IF(OR(B559="Acquisto",B559="Vendita"),COUNTIFS($C$5:C559,C559,$B$5:B559,"Acquisto")+COUNTIFS($C$5:C559,C559,$B$5:B559,"Vendita"),"")</f>
        <v/>
      </c>
      <c r="O559" t="str">
        <f>IF(N559="","",C559&amp;"|"&amp;N559)</f>
        <v/>
      </c>
      <c r="P559" t="str">
        <f>IF(N559="","",IF(N559=1,0,MATCH(C559&amp;"|"&amp;(N559-1),$O$5:$O$1004,0)))</f>
        <v/>
      </c>
      <c r="Q559" t="str">
        <f>IF(N559="","",IF(P559=0,SUMIFS(Calcoli!$C$7:$C$21,Calcoli!$A$7:$A$21,C559),INDEX($S$5:$S$1004,P559)))</f>
        <v/>
      </c>
      <c r="R559" t="str">
        <f>IF(N559="","",IF(P559=0,SUMIFS(Calcoli!$D$7:$D$21,Calcoli!$A$7:$A$21,C559),INDEX($T$5:$T$1004,P559)))</f>
        <v/>
      </c>
      <c r="S559" t="str">
        <f>IF(N559="","",IF(B559="Acquisto",Q559+N(D559),MAX(0,Q559-N(D559))))</f>
        <v/>
      </c>
      <c r="T559" t="str">
        <f>IF(N559="","",IF(B559="Acquisto",R559+J559+N(G559),IF(Q559&lt;=0,0,R559*(1-MIN(1,N(D559)/Q559)))))</f>
        <v/>
      </c>
      <c r="U559" t="str">
        <f>IF(B559&lt;&gt;"Vendita","",J559-N(G559)-IF(Q559&lt;=0,0,R559*MIN(1,N(D559)/Q559)))</f>
        <v/>
      </c>
      <c r="V559" t="str">
        <f>IF(B559&lt;&gt;"Dividendo","",IF(Calcoli!$B$251=1,J559,L559))</f>
        <v/>
      </c>
      <c r="W559" t="str">
        <f>IF(AND(V559&lt;&gt;"",ISNUMBER(A559)),A559,"")</f>
        <v/>
      </c>
    </row>
    <row r="560">
      <c r="A560" s="134" t="n"/>
      <c r="B560" s="116" t="n"/>
      <c r="C560" s="116" t="n"/>
      <c r="D560" s="121" t="n"/>
      <c r="E560" s="120" t="n"/>
      <c r="F560" s="120" t="n"/>
      <c r="G560" s="120" t="n"/>
      <c r="H560" s="120" t="n"/>
      <c r="I560" s="117" t="n"/>
      <c r="J560" s="123" t="str">
        <f>IF(B560="","",IF(F560&lt;&gt;"",N(F560),ROUND(N(D560)*N(E560),2)))</f>
        <v/>
      </c>
      <c r="K560" s="123" t="str">
        <f>IF(B560="","",IF(H560&lt;&gt;"",N(H560),IF(B560="Dividendo",ROUND(J560*IFERROR(INDEX(Calcoli!$V$7:$V$21,MATCH(C560,Calcoli!$A$7:$A$21,0)),0.26),2),IF(B560="Vendita",ROUND(MAX(0,U560)*IFERROR(INDEX(Calcoli!$V$7:$V$21,MATCH(C560,Calcoli!$A$7:$A$21,0)),0.26),2),0))))</f>
        <v/>
      </c>
      <c r="L560" s="135" t="str">
        <f>IF(B560="","",IF(B560="Acquisto",-(J560+N(G560)),J560-N(G560)-K560))</f>
        <v/>
      </c>
      <c r="M560" s="127" t="str">
        <f>IF(B560="","",IF(ISNA(MATCH(C560,ETF!$A$7:$A$21,0)),"ETF?",IF(NOT(ISNUMBER(A560)),"Data?",IF(AND(B560&lt;&gt;"Dividendo",N(D560)&lt;=0),"Quote?",IF(AND(B560="Vendita",N(D560)&gt;N(Q560)+0.000001),"Quote?",IF(J560&lt;=0,"Importo?","✓"))))))</f>
        <v/>
      </c>
      <c r="N560" t="str">
        <f>IF(OR(B560="Acquisto",B560="Vendita"),COUNTIFS($C$5:C560,C560,$B$5:B560,"Acquisto")+COUNTIFS($C$5:C560,C560,$B$5:B560,"Vendita"),"")</f>
        <v/>
      </c>
      <c r="O560" t="str">
        <f>IF(N560="","",C560&amp;"|"&amp;N560)</f>
        <v/>
      </c>
      <c r="P560" t="str">
        <f>IF(N560="","",IF(N560=1,0,MATCH(C560&amp;"|"&amp;(N560-1),$O$5:$O$1004,0)))</f>
        <v/>
      </c>
      <c r="Q560" t="str">
        <f>IF(N560="","",IF(P560=0,SUMIFS(Calcoli!$C$7:$C$21,Calcoli!$A$7:$A$21,C560),INDEX($S$5:$S$1004,P560)))</f>
        <v/>
      </c>
      <c r="R560" t="str">
        <f>IF(N560="","",IF(P560=0,SUMIFS(Calcoli!$D$7:$D$21,Calcoli!$A$7:$A$21,C560),INDEX($T$5:$T$1004,P560)))</f>
        <v/>
      </c>
      <c r="S560" t="str">
        <f>IF(N560="","",IF(B560="Acquisto",Q560+N(D560),MAX(0,Q560-N(D560))))</f>
        <v/>
      </c>
      <c r="T560" t="str">
        <f>IF(N560="","",IF(B560="Acquisto",R560+J560+N(G560),IF(Q560&lt;=0,0,R560*(1-MIN(1,N(D560)/Q560)))))</f>
        <v/>
      </c>
      <c r="U560" t="str">
        <f>IF(B560&lt;&gt;"Vendita","",J560-N(G560)-IF(Q560&lt;=0,0,R560*MIN(1,N(D560)/Q560)))</f>
        <v/>
      </c>
      <c r="V560" t="str">
        <f>IF(B560&lt;&gt;"Dividendo","",IF(Calcoli!$B$251=1,J560,L560))</f>
        <v/>
      </c>
      <c r="W560" t="str">
        <f>IF(AND(V560&lt;&gt;"",ISNUMBER(A560)),A560,"")</f>
        <v/>
      </c>
    </row>
    <row r="561">
      <c r="A561" s="134" t="n"/>
      <c r="B561" s="116" t="n"/>
      <c r="C561" s="116" t="n"/>
      <c r="D561" s="121" t="n"/>
      <c r="E561" s="120" t="n"/>
      <c r="F561" s="120" t="n"/>
      <c r="G561" s="120" t="n"/>
      <c r="H561" s="120" t="n"/>
      <c r="I561" s="117" t="n"/>
      <c r="J561" s="123" t="str">
        <f>IF(B561="","",IF(F561&lt;&gt;"",N(F561),ROUND(N(D561)*N(E561),2)))</f>
        <v/>
      </c>
      <c r="K561" s="123" t="str">
        <f>IF(B561="","",IF(H561&lt;&gt;"",N(H561),IF(B561="Dividendo",ROUND(J561*IFERROR(INDEX(Calcoli!$V$7:$V$21,MATCH(C561,Calcoli!$A$7:$A$21,0)),0.26),2),IF(B561="Vendita",ROUND(MAX(0,U561)*IFERROR(INDEX(Calcoli!$V$7:$V$21,MATCH(C561,Calcoli!$A$7:$A$21,0)),0.26),2),0))))</f>
        <v/>
      </c>
      <c r="L561" s="135" t="str">
        <f>IF(B561="","",IF(B561="Acquisto",-(J561+N(G561)),J561-N(G561)-K561))</f>
        <v/>
      </c>
      <c r="M561" s="127" t="str">
        <f>IF(B561="","",IF(ISNA(MATCH(C561,ETF!$A$7:$A$21,0)),"ETF?",IF(NOT(ISNUMBER(A561)),"Data?",IF(AND(B561&lt;&gt;"Dividendo",N(D561)&lt;=0),"Quote?",IF(AND(B561="Vendita",N(D561)&gt;N(Q561)+0.000001),"Quote?",IF(J561&lt;=0,"Importo?","✓"))))))</f>
        <v/>
      </c>
      <c r="N561" t="str">
        <f>IF(OR(B561="Acquisto",B561="Vendita"),COUNTIFS($C$5:C561,C561,$B$5:B561,"Acquisto")+COUNTIFS($C$5:C561,C561,$B$5:B561,"Vendita"),"")</f>
        <v/>
      </c>
      <c r="O561" t="str">
        <f>IF(N561="","",C561&amp;"|"&amp;N561)</f>
        <v/>
      </c>
      <c r="P561" t="str">
        <f>IF(N561="","",IF(N561=1,0,MATCH(C561&amp;"|"&amp;(N561-1),$O$5:$O$1004,0)))</f>
        <v/>
      </c>
      <c r="Q561" t="str">
        <f>IF(N561="","",IF(P561=0,SUMIFS(Calcoli!$C$7:$C$21,Calcoli!$A$7:$A$21,C561),INDEX($S$5:$S$1004,P561)))</f>
        <v/>
      </c>
      <c r="R561" t="str">
        <f>IF(N561="","",IF(P561=0,SUMIFS(Calcoli!$D$7:$D$21,Calcoli!$A$7:$A$21,C561),INDEX($T$5:$T$1004,P561)))</f>
        <v/>
      </c>
      <c r="S561" t="str">
        <f>IF(N561="","",IF(B561="Acquisto",Q561+N(D561),MAX(0,Q561-N(D561))))</f>
        <v/>
      </c>
      <c r="T561" t="str">
        <f>IF(N561="","",IF(B561="Acquisto",R561+J561+N(G561),IF(Q561&lt;=0,0,R561*(1-MIN(1,N(D561)/Q561)))))</f>
        <v/>
      </c>
      <c r="U561" t="str">
        <f>IF(B561&lt;&gt;"Vendita","",J561-N(G561)-IF(Q561&lt;=0,0,R561*MIN(1,N(D561)/Q561)))</f>
        <v/>
      </c>
      <c r="V561" t="str">
        <f>IF(B561&lt;&gt;"Dividendo","",IF(Calcoli!$B$251=1,J561,L561))</f>
        <v/>
      </c>
      <c r="W561" t="str">
        <f>IF(AND(V561&lt;&gt;"",ISNUMBER(A561)),A561,"")</f>
        <v/>
      </c>
    </row>
    <row r="562">
      <c r="A562" s="134" t="n"/>
      <c r="B562" s="116" t="n"/>
      <c r="C562" s="116" t="n"/>
      <c r="D562" s="121" t="n"/>
      <c r="E562" s="120" t="n"/>
      <c r="F562" s="120" t="n"/>
      <c r="G562" s="120" t="n"/>
      <c r="H562" s="120" t="n"/>
      <c r="I562" s="117" t="n"/>
      <c r="J562" s="123" t="str">
        <f>IF(B562="","",IF(F562&lt;&gt;"",N(F562),ROUND(N(D562)*N(E562),2)))</f>
        <v/>
      </c>
      <c r="K562" s="123" t="str">
        <f>IF(B562="","",IF(H562&lt;&gt;"",N(H562),IF(B562="Dividendo",ROUND(J562*IFERROR(INDEX(Calcoli!$V$7:$V$21,MATCH(C562,Calcoli!$A$7:$A$21,0)),0.26),2),IF(B562="Vendita",ROUND(MAX(0,U562)*IFERROR(INDEX(Calcoli!$V$7:$V$21,MATCH(C562,Calcoli!$A$7:$A$21,0)),0.26),2),0))))</f>
        <v/>
      </c>
      <c r="L562" s="135" t="str">
        <f>IF(B562="","",IF(B562="Acquisto",-(J562+N(G562)),J562-N(G562)-K562))</f>
        <v/>
      </c>
      <c r="M562" s="127" t="str">
        <f>IF(B562="","",IF(ISNA(MATCH(C562,ETF!$A$7:$A$21,0)),"ETF?",IF(NOT(ISNUMBER(A562)),"Data?",IF(AND(B562&lt;&gt;"Dividendo",N(D562)&lt;=0),"Quote?",IF(AND(B562="Vendita",N(D562)&gt;N(Q562)+0.000001),"Quote?",IF(J562&lt;=0,"Importo?","✓"))))))</f>
        <v/>
      </c>
      <c r="N562" t="str">
        <f>IF(OR(B562="Acquisto",B562="Vendita"),COUNTIFS($C$5:C562,C562,$B$5:B562,"Acquisto")+COUNTIFS($C$5:C562,C562,$B$5:B562,"Vendita"),"")</f>
        <v/>
      </c>
      <c r="O562" t="str">
        <f>IF(N562="","",C562&amp;"|"&amp;N562)</f>
        <v/>
      </c>
      <c r="P562" t="str">
        <f>IF(N562="","",IF(N562=1,0,MATCH(C562&amp;"|"&amp;(N562-1),$O$5:$O$1004,0)))</f>
        <v/>
      </c>
      <c r="Q562" t="str">
        <f>IF(N562="","",IF(P562=0,SUMIFS(Calcoli!$C$7:$C$21,Calcoli!$A$7:$A$21,C562),INDEX($S$5:$S$1004,P562)))</f>
        <v/>
      </c>
      <c r="R562" t="str">
        <f>IF(N562="","",IF(P562=0,SUMIFS(Calcoli!$D$7:$D$21,Calcoli!$A$7:$A$21,C562),INDEX($T$5:$T$1004,P562)))</f>
        <v/>
      </c>
      <c r="S562" t="str">
        <f>IF(N562="","",IF(B562="Acquisto",Q562+N(D562),MAX(0,Q562-N(D562))))</f>
        <v/>
      </c>
      <c r="T562" t="str">
        <f>IF(N562="","",IF(B562="Acquisto",R562+J562+N(G562),IF(Q562&lt;=0,0,R562*(1-MIN(1,N(D562)/Q562)))))</f>
        <v/>
      </c>
      <c r="U562" t="str">
        <f>IF(B562&lt;&gt;"Vendita","",J562-N(G562)-IF(Q562&lt;=0,0,R562*MIN(1,N(D562)/Q562)))</f>
        <v/>
      </c>
      <c r="V562" t="str">
        <f>IF(B562&lt;&gt;"Dividendo","",IF(Calcoli!$B$251=1,J562,L562))</f>
        <v/>
      </c>
      <c r="W562" t="str">
        <f>IF(AND(V562&lt;&gt;"",ISNUMBER(A562)),A562,"")</f>
        <v/>
      </c>
    </row>
    <row r="563">
      <c r="A563" s="134" t="n"/>
      <c r="B563" s="116" t="n"/>
      <c r="C563" s="116" t="n"/>
      <c r="D563" s="121" t="n"/>
      <c r="E563" s="120" t="n"/>
      <c r="F563" s="120" t="n"/>
      <c r="G563" s="120" t="n"/>
      <c r="H563" s="120" t="n"/>
      <c r="I563" s="117" t="n"/>
      <c r="J563" s="123" t="str">
        <f>IF(B563="","",IF(F563&lt;&gt;"",N(F563),ROUND(N(D563)*N(E563),2)))</f>
        <v/>
      </c>
      <c r="K563" s="123" t="str">
        <f>IF(B563="","",IF(H563&lt;&gt;"",N(H563),IF(B563="Dividendo",ROUND(J563*IFERROR(INDEX(Calcoli!$V$7:$V$21,MATCH(C563,Calcoli!$A$7:$A$21,0)),0.26),2),IF(B563="Vendita",ROUND(MAX(0,U563)*IFERROR(INDEX(Calcoli!$V$7:$V$21,MATCH(C563,Calcoli!$A$7:$A$21,0)),0.26),2),0))))</f>
        <v/>
      </c>
      <c r="L563" s="135" t="str">
        <f>IF(B563="","",IF(B563="Acquisto",-(J563+N(G563)),J563-N(G563)-K563))</f>
        <v/>
      </c>
      <c r="M563" s="127" t="str">
        <f>IF(B563="","",IF(ISNA(MATCH(C563,ETF!$A$7:$A$21,0)),"ETF?",IF(NOT(ISNUMBER(A563)),"Data?",IF(AND(B563&lt;&gt;"Dividendo",N(D563)&lt;=0),"Quote?",IF(AND(B563="Vendita",N(D563)&gt;N(Q563)+0.000001),"Quote?",IF(J563&lt;=0,"Importo?","✓"))))))</f>
        <v/>
      </c>
      <c r="N563" t="str">
        <f>IF(OR(B563="Acquisto",B563="Vendita"),COUNTIFS($C$5:C563,C563,$B$5:B563,"Acquisto")+COUNTIFS($C$5:C563,C563,$B$5:B563,"Vendita"),"")</f>
        <v/>
      </c>
      <c r="O563" t="str">
        <f>IF(N563="","",C563&amp;"|"&amp;N563)</f>
        <v/>
      </c>
      <c r="P563" t="str">
        <f>IF(N563="","",IF(N563=1,0,MATCH(C563&amp;"|"&amp;(N563-1),$O$5:$O$1004,0)))</f>
        <v/>
      </c>
      <c r="Q563" t="str">
        <f>IF(N563="","",IF(P563=0,SUMIFS(Calcoli!$C$7:$C$21,Calcoli!$A$7:$A$21,C563),INDEX($S$5:$S$1004,P563)))</f>
        <v/>
      </c>
      <c r="R563" t="str">
        <f>IF(N563="","",IF(P563=0,SUMIFS(Calcoli!$D$7:$D$21,Calcoli!$A$7:$A$21,C563),INDEX($T$5:$T$1004,P563)))</f>
        <v/>
      </c>
      <c r="S563" t="str">
        <f>IF(N563="","",IF(B563="Acquisto",Q563+N(D563),MAX(0,Q563-N(D563))))</f>
        <v/>
      </c>
      <c r="T563" t="str">
        <f>IF(N563="","",IF(B563="Acquisto",R563+J563+N(G563),IF(Q563&lt;=0,0,R563*(1-MIN(1,N(D563)/Q563)))))</f>
        <v/>
      </c>
      <c r="U563" t="str">
        <f>IF(B563&lt;&gt;"Vendita","",J563-N(G563)-IF(Q563&lt;=0,0,R563*MIN(1,N(D563)/Q563)))</f>
        <v/>
      </c>
      <c r="V563" t="str">
        <f>IF(B563&lt;&gt;"Dividendo","",IF(Calcoli!$B$251=1,J563,L563))</f>
        <v/>
      </c>
      <c r="W563" t="str">
        <f>IF(AND(V563&lt;&gt;"",ISNUMBER(A563)),A563,"")</f>
        <v/>
      </c>
    </row>
    <row r="564">
      <c r="A564" s="134" t="n"/>
      <c r="B564" s="116" t="n"/>
      <c r="C564" s="116" t="n"/>
      <c r="D564" s="121" t="n"/>
      <c r="E564" s="120" t="n"/>
      <c r="F564" s="120" t="n"/>
      <c r="G564" s="120" t="n"/>
      <c r="H564" s="120" t="n"/>
      <c r="I564" s="117" t="n"/>
      <c r="J564" s="123" t="str">
        <f>IF(B564="","",IF(F564&lt;&gt;"",N(F564),ROUND(N(D564)*N(E564),2)))</f>
        <v/>
      </c>
      <c r="K564" s="123" t="str">
        <f>IF(B564="","",IF(H564&lt;&gt;"",N(H564),IF(B564="Dividendo",ROUND(J564*IFERROR(INDEX(Calcoli!$V$7:$V$21,MATCH(C564,Calcoli!$A$7:$A$21,0)),0.26),2),IF(B564="Vendita",ROUND(MAX(0,U564)*IFERROR(INDEX(Calcoli!$V$7:$V$21,MATCH(C564,Calcoli!$A$7:$A$21,0)),0.26),2),0))))</f>
        <v/>
      </c>
      <c r="L564" s="135" t="str">
        <f>IF(B564="","",IF(B564="Acquisto",-(J564+N(G564)),J564-N(G564)-K564))</f>
        <v/>
      </c>
      <c r="M564" s="127" t="str">
        <f>IF(B564="","",IF(ISNA(MATCH(C564,ETF!$A$7:$A$21,0)),"ETF?",IF(NOT(ISNUMBER(A564)),"Data?",IF(AND(B564&lt;&gt;"Dividendo",N(D564)&lt;=0),"Quote?",IF(AND(B564="Vendita",N(D564)&gt;N(Q564)+0.000001),"Quote?",IF(J564&lt;=0,"Importo?","✓"))))))</f>
        <v/>
      </c>
      <c r="N564" t="str">
        <f>IF(OR(B564="Acquisto",B564="Vendita"),COUNTIFS($C$5:C564,C564,$B$5:B564,"Acquisto")+COUNTIFS($C$5:C564,C564,$B$5:B564,"Vendita"),"")</f>
        <v/>
      </c>
      <c r="O564" t="str">
        <f>IF(N564="","",C564&amp;"|"&amp;N564)</f>
        <v/>
      </c>
      <c r="P564" t="str">
        <f>IF(N564="","",IF(N564=1,0,MATCH(C564&amp;"|"&amp;(N564-1),$O$5:$O$1004,0)))</f>
        <v/>
      </c>
      <c r="Q564" t="str">
        <f>IF(N564="","",IF(P564=0,SUMIFS(Calcoli!$C$7:$C$21,Calcoli!$A$7:$A$21,C564),INDEX($S$5:$S$1004,P564)))</f>
        <v/>
      </c>
      <c r="R564" t="str">
        <f>IF(N564="","",IF(P564=0,SUMIFS(Calcoli!$D$7:$D$21,Calcoli!$A$7:$A$21,C564),INDEX($T$5:$T$1004,P564)))</f>
        <v/>
      </c>
      <c r="S564" t="str">
        <f>IF(N564="","",IF(B564="Acquisto",Q564+N(D564),MAX(0,Q564-N(D564))))</f>
        <v/>
      </c>
      <c r="T564" t="str">
        <f>IF(N564="","",IF(B564="Acquisto",R564+J564+N(G564),IF(Q564&lt;=0,0,R564*(1-MIN(1,N(D564)/Q564)))))</f>
        <v/>
      </c>
      <c r="U564" t="str">
        <f>IF(B564&lt;&gt;"Vendita","",J564-N(G564)-IF(Q564&lt;=0,0,R564*MIN(1,N(D564)/Q564)))</f>
        <v/>
      </c>
      <c r="V564" t="str">
        <f>IF(B564&lt;&gt;"Dividendo","",IF(Calcoli!$B$251=1,J564,L564))</f>
        <v/>
      </c>
      <c r="W564" t="str">
        <f>IF(AND(V564&lt;&gt;"",ISNUMBER(A564)),A564,"")</f>
        <v/>
      </c>
    </row>
    <row r="565">
      <c r="A565" s="134" t="n"/>
      <c r="B565" s="116" t="n"/>
      <c r="C565" s="116" t="n"/>
      <c r="D565" s="121" t="n"/>
      <c r="E565" s="120" t="n"/>
      <c r="F565" s="120" t="n"/>
      <c r="G565" s="120" t="n"/>
      <c r="H565" s="120" t="n"/>
      <c r="I565" s="117" t="n"/>
      <c r="J565" s="123" t="str">
        <f>IF(B565="","",IF(F565&lt;&gt;"",N(F565),ROUND(N(D565)*N(E565),2)))</f>
        <v/>
      </c>
      <c r="K565" s="123" t="str">
        <f>IF(B565="","",IF(H565&lt;&gt;"",N(H565),IF(B565="Dividendo",ROUND(J565*IFERROR(INDEX(Calcoli!$V$7:$V$21,MATCH(C565,Calcoli!$A$7:$A$21,0)),0.26),2),IF(B565="Vendita",ROUND(MAX(0,U565)*IFERROR(INDEX(Calcoli!$V$7:$V$21,MATCH(C565,Calcoli!$A$7:$A$21,0)),0.26),2),0))))</f>
        <v/>
      </c>
      <c r="L565" s="135" t="str">
        <f>IF(B565="","",IF(B565="Acquisto",-(J565+N(G565)),J565-N(G565)-K565))</f>
        <v/>
      </c>
      <c r="M565" s="127" t="str">
        <f>IF(B565="","",IF(ISNA(MATCH(C565,ETF!$A$7:$A$21,0)),"ETF?",IF(NOT(ISNUMBER(A565)),"Data?",IF(AND(B565&lt;&gt;"Dividendo",N(D565)&lt;=0),"Quote?",IF(AND(B565="Vendita",N(D565)&gt;N(Q565)+0.000001),"Quote?",IF(J565&lt;=0,"Importo?","✓"))))))</f>
        <v/>
      </c>
      <c r="N565" t="str">
        <f>IF(OR(B565="Acquisto",B565="Vendita"),COUNTIFS($C$5:C565,C565,$B$5:B565,"Acquisto")+COUNTIFS($C$5:C565,C565,$B$5:B565,"Vendita"),"")</f>
        <v/>
      </c>
      <c r="O565" t="str">
        <f>IF(N565="","",C565&amp;"|"&amp;N565)</f>
        <v/>
      </c>
      <c r="P565" t="str">
        <f>IF(N565="","",IF(N565=1,0,MATCH(C565&amp;"|"&amp;(N565-1),$O$5:$O$1004,0)))</f>
        <v/>
      </c>
      <c r="Q565" t="str">
        <f>IF(N565="","",IF(P565=0,SUMIFS(Calcoli!$C$7:$C$21,Calcoli!$A$7:$A$21,C565),INDEX($S$5:$S$1004,P565)))</f>
        <v/>
      </c>
      <c r="R565" t="str">
        <f>IF(N565="","",IF(P565=0,SUMIFS(Calcoli!$D$7:$D$21,Calcoli!$A$7:$A$21,C565),INDEX($T$5:$T$1004,P565)))</f>
        <v/>
      </c>
      <c r="S565" t="str">
        <f>IF(N565="","",IF(B565="Acquisto",Q565+N(D565),MAX(0,Q565-N(D565))))</f>
        <v/>
      </c>
      <c r="T565" t="str">
        <f>IF(N565="","",IF(B565="Acquisto",R565+J565+N(G565),IF(Q565&lt;=0,0,R565*(1-MIN(1,N(D565)/Q565)))))</f>
        <v/>
      </c>
      <c r="U565" t="str">
        <f>IF(B565&lt;&gt;"Vendita","",J565-N(G565)-IF(Q565&lt;=0,0,R565*MIN(1,N(D565)/Q565)))</f>
        <v/>
      </c>
      <c r="V565" t="str">
        <f>IF(B565&lt;&gt;"Dividendo","",IF(Calcoli!$B$251=1,J565,L565))</f>
        <v/>
      </c>
      <c r="W565" t="str">
        <f>IF(AND(V565&lt;&gt;"",ISNUMBER(A565)),A565,"")</f>
        <v/>
      </c>
    </row>
    <row r="566">
      <c r="A566" s="134" t="n"/>
      <c r="B566" s="116" t="n"/>
      <c r="C566" s="116" t="n"/>
      <c r="D566" s="121" t="n"/>
      <c r="E566" s="120" t="n"/>
      <c r="F566" s="120" t="n"/>
      <c r="G566" s="120" t="n"/>
      <c r="H566" s="120" t="n"/>
      <c r="I566" s="117" t="n"/>
      <c r="J566" s="123" t="str">
        <f>IF(B566="","",IF(F566&lt;&gt;"",N(F566),ROUND(N(D566)*N(E566),2)))</f>
        <v/>
      </c>
      <c r="K566" s="123" t="str">
        <f>IF(B566="","",IF(H566&lt;&gt;"",N(H566),IF(B566="Dividendo",ROUND(J566*IFERROR(INDEX(Calcoli!$V$7:$V$21,MATCH(C566,Calcoli!$A$7:$A$21,0)),0.26),2),IF(B566="Vendita",ROUND(MAX(0,U566)*IFERROR(INDEX(Calcoli!$V$7:$V$21,MATCH(C566,Calcoli!$A$7:$A$21,0)),0.26),2),0))))</f>
        <v/>
      </c>
      <c r="L566" s="135" t="str">
        <f>IF(B566="","",IF(B566="Acquisto",-(J566+N(G566)),J566-N(G566)-K566))</f>
        <v/>
      </c>
      <c r="M566" s="127" t="str">
        <f>IF(B566="","",IF(ISNA(MATCH(C566,ETF!$A$7:$A$21,0)),"ETF?",IF(NOT(ISNUMBER(A566)),"Data?",IF(AND(B566&lt;&gt;"Dividendo",N(D566)&lt;=0),"Quote?",IF(AND(B566="Vendita",N(D566)&gt;N(Q566)+0.000001),"Quote?",IF(J566&lt;=0,"Importo?","✓"))))))</f>
        <v/>
      </c>
      <c r="N566" t="str">
        <f>IF(OR(B566="Acquisto",B566="Vendita"),COUNTIFS($C$5:C566,C566,$B$5:B566,"Acquisto")+COUNTIFS($C$5:C566,C566,$B$5:B566,"Vendita"),"")</f>
        <v/>
      </c>
      <c r="O566" t="str">
        <f>IF(N566="","",C566&amp;"|"&amp;N566)</f>
        <v/>
      </c>
      <c r="P566" t="str">
        <f>IF(N566="","",IF(N566=1,0,MATCH(C566&amp;"|"&amp;(N566-1),$O$5:$O$1004,0)))</f>
        <v/>
      </c>
      <c r="Q566" t="str">
        <f>IF(N566="","",IF(P566=0,SUMIFS(Calcoli!$C$7:$C$21,Calcoli!$A$7:$A$21,C566),INDEX($S$5:$S$1004,P566)))</f>
        <v/>
      </c>
      <c r="R566" t="str">
        <f>IF(N566="","",IF(P566=0,SUMIFS(Calcoli!$D$7:$D$21,Calcoli!$A$7:$A$21,C566),INDEX($T$5:$T$1004,P566)))</f>
        <v/>
      </c>
      <c r="S566" t="str">
        <f>IF(N566="","",IF(B566="Acquisto",Q566+N(D566),MAX(0,Q566-N(D566))))</f>
        <v/>
      </c>
      <c r="T566" t="str">
        <f>IF(N566="","",IF(B566="Acquisto",R566+J566+N(G566),IF(Q566&lt;=0,0,R566*(1-MIN(1,N(D566)/Q566)))))</f>
        <v/>
      </c>
      <c r="U566" t="str">
        <f>IF(B566&lt;&gt;"Vendita","",J566-N(G566)-IF(Q566&lt;=0,0,R566*MIN(1,N(D566)/Q566)))</f>
        <v/>
      </c>
      <c r="V566" t="str">
        <f>IF(B566&lt;&gt;"Dividendo","",IF(Calcoli!$B$251=1,J566,L566))</f>
        <v/>
      </c>
      <c r="W566" t="str">
        <f>IF(AND(V566&lt;&gt;"",ISNUMBER(A566)),A566,"")</f>
        <v/>
      </c>
    </row>
    <row r="567">
      <c r="A567" s="134" t="n"/>
      <c r="B567" s="116" t="n"/>
      <c r="C567" s="116" t="n"/>
      <c r="D567" s="121" t="n"/>
      <c r="E567" s="120" t="n"/>
      <c r="F567" s="120" t="n"/>
      <c r="G567" s="120" t="n"/>
      <c r="H567" s="120" t="n"/>
      <c r="I567" s="117" t="n"/>
      <c r="J567" s="123" t="str">
        <f>IF(B567="","",IF(F567&lt;&gt;"",N(F567),ROUND(N(D567)*N(E567),2)))</f>
        <v/>
      </c>
      <c r="K567" s="123" t="str">
        <f>IF(B567="","",IF(H567&lt;&gt;"",N(H567),IF(B567="Dividendo",ROUND(J567*IFERROR(INDEX(Calcoli!$V$7:$V$21,MATCH(C567,Calcoli!$A$7:$A$21,0)),0.26),2),IF(B567="Vendita",ROUND(MAX(0,U567)*IFERROR(INDEX(Calcoli!$V$7:$V$21,MATCH(C567,Calcoli!$A$7:$A$21,0)),0.26),2),0))))</f>
        <v/>
      </c>
      <c r="L567" s="135" t="str">
        <f>IF(B567="","",IF(B567="Acquisto",-(J567+N(G567)),J567-N(G567)-K567))</f>
        <v/>
      </c>
      <c r="M567" s="127" t="str">
        <f>IF(B567="","",IF(ISNA(MATCH(C567,ETF!$A$7:$A$21,0)),"ETF?",IF(NOT(ISNUMBER(A567)),"Data?",IF(AND(B567&lt;&gt;"Dividendo",N(D567)&lt;=0),"Quote?",IF(AND(B567="Vendita",N(D567)&gt;N(Q567)+0.000001),"Quote?",IF(J567&lt;=0,"Importo?","✓"))))))</f>
        <v/>
      </c>
      <c r="N567" t="str">
        <f>IF(OR(B567="Acquisto",B567="Vendita"),COUNTIFS($C$5:C567,C567,$B$5:B567,"Acquisto")+COUNTIFS($C$5:C567,C567,$B$5:B567,"Vendita"),"")</f>
        <v/>
      </c>
      <c r="O567" t="str">
        <f>IF(N567="","",C567&amp;"|"&amp;N567)</f>
        <v/>
      </c>
      <c r="P567" t="str">
        <f>IF(N567="","",IF(N567=1,0,MATCH(C567&amp;"|"&amp;(N567-1),$O$5:$O$1004,0)))</f>
        <v/>
      </c>
      <c r="Q567" t="str">
        <f>IF(N567="","",IF(P567=0,SUMIFS(Calcoli!$C$7:$C$21,Calcoli!$A$7:$A$21,C567),INDEX($S$5:$S$1004,P567)))</f>
        <v/>
      </c>
      <c r="R567" t="str">
        <f>IF(N567="","",IF(P567=0,SUMIFS(Calcoli!$D$7:$D$21,Calcoli!$A$7:$A$21,C567),INDEX($T$5:$T$1004,P567)))</f>
        <v/>
      </c>
      <c r="S567" t="str">
        <f>IF(N567="","",IF(B567="Acquisto",Q567+N(D567),MAX(0,Q567-N(D567))))</f>
        <v/>
      </c>
      <c r="T567" t="str">
        <f>IF(N567="","",IF(B567="Acquisto",R567+J567+N(G567),IF(Q567&lt;=0,0,R567*(1-MIN(1,N(D567)/Q567)))))</f>
        <v/>
      </c>
      <c r="U567" t="str">
        <f>IF(B567&lt;&gt;"Vendita","",J567-N(G567)-IF(Q567&lt;=0,0,R567*MIN(1,N(D567)/Q567)))</f>
        <v/>
      </c>
      <c r="V567" t="str">
        <f>IF(B567&lt;&gt;"Dividendo","",IF(Calcoli!$B$251=1,J567,L567))</f>
        <v/>
      </c>
      <c r="W567" t="str">
        <f>IF(AND(V567&lt;&gt;"",ISNUMBER(A567)),A567,"")</f>
        <v/>
      </c>
    </row>
    <row r="568">
      <c r="A568" s="134" t="n"/>
      <c r="B568" s="116" t="n"/>
      <c r="C568" s="116" t="n"/>
      <c r="D568" s="121" t="n"/>
      <c r="E568" s="120" t="n"/>
      <c r="F568" s="120" t="n"/>
      <c r="G568" s="120" t="n"/>
      <c r="H568" s="120" t="n"/>
      <c r="I568" s="117" t="n"/>
      <c r="J568" s="123" t="str">
        <f>IF(B568="","",IF(F568&lt;&gt;"",N(F568),ROUND(N(D568)*N(E568),2)))</f>
        <v/>
      </c>
      <c r="K568" s="123" t="str">
        <f>IF(B568="","",IF(H568&lt;&gt;"",N(H568),IF(B568="Dividendo",ROUND(J568*IFERROR(INDEX(Calcoli!$V$7:$V$21,MATCH(C568,Calcoli!$A$7:$A$21,0)),0.26),2),IF(B568="Vendita",ROUND(MAX(0,U568)*IFERROR(INDEX(Calcoli!$V$7:$V$21,MATCH(C568,Calcoli!$A$7:$A$21,0)),0.26),2),0))))</f>
        <v/>
      </c>
      <c r="L568" s="135" t="str">
        <f>IF(B568="","",IF(B568="Acquisto",-(J568+N(G568)),J568-N(G568)-K568))</f>
        <v/>
      </c>
      <c r="M568" s="127" t="str">
        <f>IF(B568="","",IF(ISNA(MATCH(C568,ETF!$A$7:$A$21,0)),"ETF?",IF(NOT(ISNUMBER(A568)),"Data?",IF(AND(B568&lt;&gt;"Dividendo",N(D568)&lt;=0),"Quote?",IF(AND(B568="Vendita",N(D568)&gt;N(Q568)+0.000001),"Quote?",IF(J568&lt;=0,"Importo?","✓"))))))</f>
        <v/>
      </c>
      <c r="N568" t="str">
        <f>IF(OR(B568="Acquisto",B568="Vendita"),COUNTIFS($C$5:C568,C568,$B$5:B568,"Acquisto")+COUNTIFS($C$5:C568,C568,$B$5:B568,"Vendita"),"")</f>
        <v/>
      </c>
      <c r="O568" t="str">
        <f>IF(N568="","",C568&amp;"|"&amp;N568)</f>
        <v/>
      </c>
      <c r="P568" t="str">
        <f>IF(N568="","",IF(N568=1,0,MATCH(C568&amp;"|"&amp;(N568-1),$O$5:$O$1004,0)))</f>
        <v/>
      </c>
      <c r="Q568" t="str">
        <f>IF(N568="","",IF(P568=0,SUMIFS(Calcoli!$C$7:$C$21,Calcoli!$A$7:$A$21,C568),INDEX($S$5:$S$1004,P568)))</f>
        <v/>
      </c>
      <c r="R568" t="str">
        <f>IF(N568="","",IF(P568=0,SUMIFS(Calcoli!$D$7:$D$21,Calcoli!$A$7:$A$21,C568),INDEX($T$5:$T$1004,P568)))</f>
        <v/>
      </c>
      <c r="S568" t="str">
        <f>IF(N568="","",IF(B568="Acquisto",Q568+N(D568),MAX(0,Q568-N(D568))))</f>
        <v/>
      </c>
      <c r="T568" t="str">
        <f>IF(N568="","",IF(B568="Acquisto",R568+J568+N(G568),IF(Q568&lt;=0,0,R568*(1-MIN(1,N(D568)/Q568)))))</f>
        <v/>
      </c>
      <c r="U568" t="str">
        <f>IF(B568&lt;&gt;"Vendita","",J568-N(G568)-IF(Q568&lt;=0,0,R568*MIN(1,N(D568)/Q568)))</f>
        <v/>
      </c>
      <c r="V568" t="str">
        <f>IF(B568&lt;&gt;"Dividendo","",IF(Calcoli!$B$251=1,J568,L568))</f>
        <v/>
      </c>
      <c r="W568" t="str">
        <f>IF(AND(V568&lt;&gt;"",ISNUMBER(A568)),A568,"")</f>
        <v/>
      </c>
    </row>
    <row r="569">
      <c r="A569" s="134" t="n"/>
      <c r="B569" s="116" t="n"/>
      <c r="C569" s="116" t="n"/>
      <c r="D569" s="121" t="n"/>
      <c r="E569" s="120" t="n"/>
      <c r="F569" s="120" t="n"/>
      <c r="G569" s="120" t="n"/>
      <c r="H569" s="120" t="n"/>
      <c r="I569" s="117" t="n"/>
      <c r="J569" s="123" t="str">
        <f>IF(B569="","",IF(F569&lt;&gt;"",N(F569),ROUND(N(D569)*N(E569),2)))</f>
        <v/>
      </c>
      <c r="K569" s="123" t="str">
        <f>IF(B569="","",IF(H569&lt;&gt;"",N(H569),IF(B569="Dividendo",ROUND(J569*IFERROR(INDEX(Calcoli!$V$7:$V$21,MATCH(C569,Calcoli!$A$7:$A$21,0)),0.26),2),IF(B569="Vendita",ROUND(MAX(0,U569)*IFERROR(INDEX(Calcoli!$V$7:$V$21,MATCH(C569,Calcoli!$A$7:$A$21,0)),0.26),2),0))))</f>
        <v/>
      </c>
      <c r="L569" s="135" t="str">
        <f>IF(B569="","",IF(B569="Acquisto",-(J569+N(G569)),J569-N(G569)-K569))</f>
        <v/>
      </c>
      <c r="M569" s="127" t="str">
        <f>IF(B569="","",IF(ISNA(MATCH(C569,ETF!$A$7:$A$21,0)),"ETF?",IF(NOT(ISNUMBER(A569)),"Data?",IF(AND(B569&lt;&gt;"Dividendo",N(D569)&lt;=0),"Quote?",IF(AND(B569="Vendita",N(D569)&gt;N(Q569)+0.000001),"Quote?",IF(J569&lt;=0,"Importo?","✓"))))))</f>
        <v/>
      </c>
      <c r="N569" t="str">
        <f>IF(OR(B569="Acquisto",B569="Vendita"),COUNTIFS($C$5:C569,C569,$B$5:B569,"Acquisto")+COUNTIFS($C$5:C569,C569,$B$5:B569,"Vendita"),"")</f>
        <v/>
      </c>
      <c r="O569" t="str">
        <f>IF(N569="","",C569&amp;"|"&amp;N569)</f>
        <v/>
      </c>
      <c r="P569" t="str">
        <f>IF(N569="","",IF(N569=1,0,MATCH(C569&amp;"|"&amp;(N569-1),$O$5:$O$1004,0)))</f>
        <v/>
      </c>
      <c r="Q569" t="str">
        <f>IF(N569="","",IF(P569=0,SUMIFS(Calcoli!$C$7:$C$21,Calcoli!$A$7:$A$21,C569),INDEX($S$5:$S$1004,P569)))</f>
        <v/>
      </c>
      <c r="R569" t="str">
        <f>IF(N569="","",IF(P569=0,SUMIFS(Calcoli!$D$7:$D$21,Calcoli!$A$7:$A$21,C569),INDEX($T$5:$T$1004,P569)))</f>
        <v/>
      </c>
      <c r="S569" t="str">
        <f>IF(N569="","",IF(B569="Acquisto",Q569+N(D569),MAX(0,Q569-N(D569))))</f>
        <v/>
      </c>
      <c r="T569" t="str">
        <f>IF(N569="","",IF(B569="Acquisto",R569+J569+N(G569),IF(Q569&lt;=0,0,R569*(1-MIN(1,N(D569)/Q569)))))</f>
        <v/>
      </c>
      <c r="U569" t="str">
        <f>IF(B569&lt;&gt;"Vendita","",J569-N(G569)-IF(Q569&lt;=0,0,R569*MIN(1,N(D569)/Q569)))</f>
        <v/>
      </c>
      <c r="V569" t="str">
        <f>IF(B569&lt;&gt;"Dividendo","",IF(Calcoli!$B$251=1,J569,L569))</f>
        <v/>
      </c>
      <c r="W569" t="str">
        <f>IF(AND(V569&lt;&gt;"",ISNUMBER(A569)),A569,"")</f>
        <v/>
      </c>
    </row>
    <row r="570">
      <c r="A570" s="134" t="n"/>
      <c r="B570" s="116" t="n"/>
      <c r="C570" s="116" t="n"/>
      <c r="D570" s="121" t="n"/>
      <c r="E570" s="120" t="n"/>
      <c r="F570" s="120" t="n"/>
      <c r="G570" s="120" t="n"/>
      <c r="H570" s="120" t="n"/>
      <c r="I570" s="117" t="n"/>
      <c r="J570" s="123" t="str">
        <f>IF(B570="","",IF(F570&lt;&gt;"",N(F570),ROUND(N(D570)*N(E570),2)))</f>
        <v/>
      </c>
      <c r="K570" s="123" t="str">
        <f>IF(B570="","",IF(H570&lt;&gt;"",N(H570),IF(B570="Dividendo",ROUND(J570*IFERROR(INDEX(Calcoli!$V$7:$V$21,MATCH(C570,Calcoli!$A$7:$A$21,0)),0.26),2),IF(B570="Vendita",ROUND(MAX(0,U570)*IFERROR(INDEX(Calcoli!$V$7:$V$21,MATCH(C570,Calcoli!$A$7:$A$21,0)),0.26),2),0))))</f>
        <v/>
      </c>
      <c r="L570" s="135" t="str">
        <f>IF(B570="","",IF(B570="Acquisto",-(J570+N(G570)),J570-N(G570)-K570))</f>
        <v/>
      </c>
      <c r="M570" s="127" t="str">
        <f>IF(B570="","",IF(ISNA(MATCH(C570,ETF!$A$7:$A$21,0)),"ETF?",IF(NOT(ISNUMBER(A570)),"Data?",IF(AND(B570&lt;&gt;"Dividendo",N(D570)&lt;=0),"Quote?",IF(AND(B570="Vendita",N(D570)&gt;N(Q570)+0.000001),"Quote?",IF(J570&lt;=0,"Importo?","✓"))))))</f>
        <v/>
      </c>
      <c r="N570" t="str">
        <f>IF(OR(B570="Acquisto",B570="Vendita"),COUNTIFS($C$5:C570,C570,$B$5:B570,"Acquisto")+COUNTIFS($C$5:C570,C570,$B$5:B570,"Vendita"),"")</f>
        <v/>
      </c>
      <c r="O570" t="str">
        <f>IF(N570="","",C570&amp;"|"&amp;N570)</f>
        <v/>
      </c>
      <c r="P570" t="str">
        <f>IF(N570="","",IF(N570=1,0,MATCH(C570&amp;"|"&amp;(N570-1),$O$5:$O$1004,0)))</f>
        <v/>
      </c>
      <c r="Q570" t="str">
        <f>IF(N570="","",IF(P570=0,SUMIFS(Calcoli!$C$7:$C$21,Calcoli!$A$7:$A$21,C570),INDEX($S$5:$S$1004,P570)))</f>
        <v/>
      </c>
      <c r="R570" t="str">
        <f>IF(N570="","",IF(P570=0,SUMIFS(Calcoli!$D$7:$D$21,Calcoli!$A$7:$A$21,C570),INDEX($T$5:$T$1004,P570)))</f>
        <v/>
      </c>
      <c r="S570" t="str">
        <f>IF(N570="","",IF(B570="Acquisto",Q570+N(D570),MAX(0,Q570-N(D570))))</f>
        <v/>
      </c>
      <c r="T570" t="str">
        <f>IF(N570="","",IF(B570="Acquisto",R570+J570+N(G570),IF(Q570&lt;=0,0,R570*(1-MIN(1,N(D570)/Q570)))))</f>
        <v/>
      </c>
      <c r="U570" t="str">
        <f>IF(B570&lt;&gt;"Vendita","",J570-N(G570)-IF(Q570&lt;=0,0,R570*MIN(1,N(D570)/Q570)))</f>
        <v/>
      </c>
      <c r="V570" t="str">
        <f>IF(B570&lt;&gt;"Dividendo","",IF(Calcoli!$B$251=1,J570,L570))</f>
        <v/>
      </c>
      <c r="W570" t="str">
        <f>IF(AND(V570&lt;&gt;"",ISNUMBER(A570)),A570,"")</f>
        <v/>
      </c>
    </row>
    <row r="571">
      <c r="A571" s="134" t="n"/>
      <c r="B571" s="116" t="n"/>
      <c r="C571" s="116" t="n"/>
      <c r="D571" s="121" t="n"/>
      <c r="E571" s="120" t="n"/>
      <c r="F571" s="120" t="n"/>
      <c r="G571" s="120" t="n"/>
      <c r="H571" s="120" t="n"/>
      <c r="I571" s="117" t="n"/>
      <c r="J571" s="123" t="str">
        <f>IF(B571="","",IF(F571&lt;&gt;"",N(F571),ROUND(N(D571)*N(E571),2)))</f>
        <v/>
      </c>
      <c r="K571" s="123" t="str">
        <f>IF(B571="","",IF(H571&lt;&gt;"",N(H571),IF(B571="Dividendo",ROUND(J571*IFERROR(INDEX(Calcoli!$V$7:$V$21,MATCH(C571,Calcoli!$A$7:$A$21,0)),0.26),2),IF(B571="Vendita",ROUND(MAX(0,U571)*IFERROR(INDEX(Calcoli!$V$7:$V$21,MATCH(C571,Calcoli!$A$7:$A$21,0)),0.26),2),0))))</f>
        <v/>
      </c>
      <c r="L571" s="135" t="str">
        <f>IF(B571="","",IF(B571="Acquisto",-(J571+N(G571)),J571-N(G571)-K571))</f>
        <v/>
      </c>
      <c r="M571" s="127" t="str">
        <f>IF(B571="","",IF(ISNA(MATCH(C571,ETF!$A$7:$A$21,0)),"ETF?",IF(NOT(ISNUMBER(A571)),"Data?",IF(AND(B571&lt;&gt;"Dividendo",N(D571)&lt;=0),"Quote?",IF(AND(B571="Vendita",N(D571)&gt;N(Q571)+0.000001),"Quote?",IF(J571&lt;=0,"Importo?","✓"))))))</f>
        <v/>
      </c>
      <c r="N571" t="str">
        <f>IF(OR(B571="Acquisto",B571="Vendita"),COUNTIFS($C$5:C571,C571,$B$5:B571,"Acquisto")+COUNTIFS($C$5:C571,C571,$B$5:B571,"Vendita"),"")</f>
        <v/>
      </c>
      <c r="O571" t="str">
        <f>IF(N571="","",C571&amp;"|"&amp;N571)</f>
        <v/>
      </c>
      <c r="P571" t="str">
        <f>IF(N571="","",IF(N571=1,0,MATCH(C571&amp;"|"&amp;(N571-1),$O$5:$O$1004,0)))</f>
        <v/>
      </c>
      <c r="Q571" t="str">
        <f>IF(N571="","",IF(P571=0,SUMIFS(Calcoli!$C$7:$C$21,Calcoli!$A$7:$A$21,C571),INDEX($S$5:$S$1004,P571)))</f>
        <v/>
      </c>
      <c r="R571" t="str">
        <f>IF(N571="","",IF(P571=0,SUMIFS(Calcoli!$D$7:$D$21,Calcoli!$A$7:$A$21,C571),INDEX($T$5:$T$1004,P571)))</f>
        <v/>
      </c>
      <c r="S571" t="str">
        <f>IF(N571="","",IF(B571="Acquisto",Q571+N(D571),MAX(0,Q571-N(D571))))</f>
        <v/>
      </c>
      <c r="T571" t="str">
        <f>IF(N571="","",IF(B571="Acquisto",R571+J571+N(G571),IF(Q571&lt;=0,0,R571*(1-MIN(1,N(D571)/Q571)))))</f>
        <v/>
      </c>
      <c r="U571" t="str">
        <f>IF(B571&lt;&gt;"Vendita","",J571-N(G571)-IF(Q571&lt;=0,0,R571*MIN(1,N(D571)/Q571)))</f>
        <v/>
      </c>
      <c r="V571" t="str">
        <f>IF(B571&lt;&gt;"Dividendo","",IF(Calcoli!$B$251=1,J571,L571))</f>
        <v/>
      </c>
      <c r="W571" t="str">
        <f>IF(AND(V571&lt;&gt;"",ISNUMBER(A571)),A571,"")</f>
        <v/>
      </c>
    </row>
    <row r="572">
      <c r="A572" s="134" t="n"/>
      <c r="B572" s="116" t="n"/>
      <c r="C572" s="116" t="n"/>
      <c r="D572" s="121" t="n"/>
      <c r="E572" s="120" t="n"/>
      <c r="F572" s="120" t="n"/>
      <c r="G572" s="120" t="n"/>
      <c r="H572" s="120" t="n"/>
      <c r="I572" s="117" t="n"/>
      <c r="J572" s="123" t="str">
        <f>IF(B572="","",IF(F572&lt;&gt;"",N(F572),ROUND(N(D572)*N(E572),2)))</f>
        <v/>
      </c>
      <c r="K572" s="123" t="str">
        <f>IF(B572="","",IF(H572&lt;&gt;"",N(H572),IF(B572="Dividendo",ROUND(J572*IFERROR(INDEX(Calcoli!$V$7:$V$21,MATCH(C572,Calcoli!$A$7:$A$21,0)),0.26),2),IF(B572="Vendita",ROUND(MAX(0,U572)*IFERROR(INDEX(Calcoli!$V$7:$V$21,MATCH(C572,Calcoli!$A$7:$A$21,0)),0.26),2),0))))</f>
        <v/>
      </c>
      <c r="L572" s="135" t="str">
        <f>IF(B572="","",IF(B572="Acquisto",-(J572+N(G572)),J572-N(G572)-K572))</f>
        <v/>
      </c>
      <c r="M572" s="127" t="str">
        <f>IF(B572="","",IF(ISNA(MATCH(C572,ETF!$A$7:$A$21,0)),"ETF?",IF(NOT(ISNUMBER(A572)),"Data?",IF(AND(B572&lt;&gt;"Dividendo",N(D572)&lt;=0),"Quote?",IF(AND(B572="Vendita",N(D572)&gt;N(Q572)+0.000001),"Quote?",IF(J572&lt;=0,"Importo?","✓"))))))</f>
        <v/>
      </c>
      <c r="N572" t="str">
        <f>IF(OR(B572="Acquisto",B572="Vendita"),COUNTIFS($C$5:C572,C572,$B$5:B572,"Acquisto")+COUNTIFS($C$5:C572,C572,$B$5:B572,"Vendita"),"")</f>
        <v/>
      </c>
      <c r="O572" t="str">
        <f>IF(N572="","",C572&amp;"|"&amp;N572)</f>
        <v/>
      </c>
      <c r="P572" t="str">
        <f>IF(N572="","",IF(N572=1,0,MATCH(C572&amp;"|"&amp;(N572-1),$O$5:$O$1004,0)))</f>
        <v/>
      </c>
      <c r="Q572" t="str">
        <f>IF(N572="","",IF(P572=0,SUMIFS(Calcoli!$C$7:$C$21,Calcoli!$A$7:$A$21,C572),INDEX($S$5:$S$1004,P572)))</f>
        <v/>
      </c>
      <c r="R572" t="str">
        <f>IF(N572="","",IF(P572=0,SUMIFS(Calcoli!$D$7:$D$21,Calcoli!$A$7:$A$21,C572),INDEX($T$5:$T$1004,P572)))</f>
        <v/>
      </c>
      <c r="S572" t="str">
        <f>IF(N572="","",IF(B572="Acquisto",Q572+N(D572),MAX(0,Q572-N(D572))))</f>
        <v/>
      </c>
      <c r="T572" t="str">
        <f>IF(N572="","",IF(B572="Acquisto",R572+J572+N(G572),IF(Q572&lt;=0,0,R572*(1-MIN(1,N(D572)/Q572)))))</f>
        <v/>
      </c>
      <c r="U572" t="str">
        <f>IF(B572&lt;&gt;"Vendita","",J572-N(G572)-IF(Q572&lt;=0,0,R572*MIN(1,N(D572)/Q572)))</f>
        <v/>
      </c>
      <c r="V572" t="str">
        <f>IF(B572&lt;&gt;"Dividendo","",IF(Calcoli!$B$251=1,J572,L572))</f>
        <v/>
      </c>
      <c r="W572" t="str">
        <f>IF(AND(V572&lt;&gt;"",ISNUMBER(A572)),A572,"")</f>
        <v/>
      </c>
    </row>
    <row r="573">
      <c r="A573" s="134" t="n"/>
      <c r="B573" s="116" t="n"/>
      <c r="C573" s="116" t="n"/>
      <c r="D573" s="121" t="n"/>
      <c r="E573" s="120" t="n"/>
      <c r="F573" s="120" t="n"/>
      <c r="G573" s="120" t="n"/>
      <c r="H573" s="120" t="n"/>
      <c r="I573" s="117" t="n"/>
      <c r="J573" s="123" t="str">
        <f>IF(B573="","",IF(F573&lt;&gt;"",N(F573),ROUND(N(D573)*N(E573),2)))</f>
        <v/>
      </c>
      <c r="K573" s="123" t="str">
        <f>IF(B573="","",IF(H573&lt;&gt;"",N(H573),IF(B573="Dividendo",ROUND(J573*IFERROR(INDEX(Calcoli!$V$7:$V$21,MATCH(C573,Calcoli!$A$7:$A$21,0)),0.26),2),IF(B573="Vendita",ROUND(MAX(0,U573)*IFERROR(INDEX(Calcoli!$V$7:$V$21,MATCH(C573,Calcoli!$A$7:$A$21,0)),0.26),2),0))))</f>
        <v/>
      </c>
      <c r="L573" s="135" t="str">
        <f>IF(B573="","",IF(B573="Acquisto",-(J573+N(G573)),J573-N(G573)-K573))</f>
        <v/>
      </c>
      <c r="M573" s="127" t="str">
        <f>IF(B573="","",IF(ISNA(MATCH(C573,ETF!$A$7:$A$21,0)),"ETF?",IF(NOT(ISNUMBER(A573)),"Data?",IF(AND(B573&lt;&gt;"Dividendo",N(D573)&lt;=0),"Quote?",IF(AND(B573="Vendita",N(D573)&gt;N(Q573)+0.000001),"Quote?",IF(J573&lt;=0,"Importo?","✓"))))))</f>
        <v/>
      </c>
      <c r="N573" t="str">
        <f>IF(OR(B573="Acquisto",B573="Vendita"),COUNTIFS($C$5:C573,C573,$B$5:B573,"Acquisto")+COUNTIFS($C$5:C573,C573,$B$5:B573,"Vendita"),"")</f>
        <v/>
      </c>
      <c r="O573" t="str">
        <f>IF(N573="","",C573&amp;"|"&amp;N573)</f>
        <v/>
      </c>
      <c r="P573" t="str">
        <f>IF(N573="","",IF(N573=1,0,MATCH(C573&amp;"|"&amp;(N573-1),$O$5:$O$1004,0)))</f>
        <v/>
      </c>
      <c r="Q573" t="str">
        <f>IF(N573="","",IF(P573=0,SUMIFS(Calcoli!$C$7:$C$21,Calcoli!$A$7:$A$21,C573),INDEX($S$5:$S$1004,P573)))</f>
        <v/>
      </c>
      <c r="R573" t="str">
        <f>IF(N573="","",IF(P573=0,SUMIFS(Calcoli!$D$7:$D$21,Calcoli!$A$7:$A$21,C573),INDEX($T$5:$T$1004,P573)))</f>
        <v/>
      </c>
      <c r="S573" t="str">
        <f>IF(N573="","",IF(B573="Acquisto",Q573+N(D573),MAX(0,Q573-N(D573))))</f>
        <v/>
      </c>
      <c r="T573" t="str">
        <f>IF(N573="","",IF(B573="Acquisto",R573+J573+N(G573),IF(Q573&lt;=0,0,R573*(1-MIN(1,N(D573)/Q573)))))</f>
        <v/>
      </c>
      <c r="U573" t="str">
        <f>IF(B573&lt;&gt;"Vendita","",J573-N(G573)-IF(Q573&lt;=0,0,R573*MIN(1,N(D573)/Q573)))</f>
        <v/>
      </c>
      <c r="V573" t="str">
        <f>IF(B573&lt;&gt;"Dividendo","",IF(Calcoli!$B$251=1,J573,L573))</f>
        <v/>
      </c>
      <c r="W573" t="str">
        <f>IF(AND(V573&lt;&gt;"",ISNUMBER(A573)),A573,"")</f>
        <v/>
      </c>
    </row>
    <row r="574">
      <c r="A574" s="134" t="n"/>
      <c r="B574" s="116" t="n"/>
      <c r="C574" s="116" t="n"/>
      <c r="D574" s="121" t="n"/>
      <c r="E574" s="120" t="n"/>
      <c r="F574" s="120" t="n"/>
      <c r="G574" s="120" t="n"/>
      <c r="H574" s="120" t="n"/>
      <c r="I574" s="117" t="n"/>
      <c r="J574" s="123" t="str">
        <f>IF(B574="","",IF(F574&lt;&gt;"",N(F574),ROUND(N(D574)*N(E574),2)))</f>
        <v/>
      </c>
      <c r="K574" s="123" t="str">
        <f>IF(B574="","",IF(H574&lt;&gt;"",N(H574),IF(B574="Dividendo",ROUND(J574*IFERROR(INDEX(Calcoli!$V$7:$V$21,MATCH(C574,Calcoli!$A$7:$A$21,0)),0.26),2),IF(B574="Vendita",ROUND(MAX(0,U574)*IFERROR(INDEX(Calcoli!$V$7:$V$21,MATCH(C574,Calcoli!$A$7:$A$21,0)),0.26),2),0))))</f>
        <v/>
      </c>
      <c r="L574" s="135" t="str">
        <f>IF(B574="","",IF(B574="Acquisto",-(J574+N(G574)),J574-N(G574)-K574))</f>
        <v/>
      </c>
      <c r="M574" s="127" t="str">
        <f>IF(B574="","",IF(ISNA(MATCH(C574,ETF!$A$7:$A$21,0)),"ETF?",IF(NOT(ISNUMBER(A574)),"Data?",IF(AND(B574&lt;&gt;"Dividendo",N(D574)&lt;=0),"Quote?",IF(AND(B574="Vendita",N(D574)&gt;N(Q574)+0.000001),"Quote?",IF(J574&lt;=0,"Importo?","✓"))))))</f>
        <v/>
      </c>
      <c r="N574" t="str">
        <f>IF(OR(B574="Acquisto",B574="Vendita"),COUNTIFS($C$5:C574,C574,$B$5:B574,"Acquisto")+COUNTIFS($C$5:C574,C574,$B$5:B574,"Vendita"),"")</f>
        <v/>
      </c>
      <c r="O574" t="str">
        <f>IF(N574="","",C574&amp;"|"&amp;N574)</f>
        <v/>
      </c>
      <c r="P574" t="str">
        <f>IF(N574="","",IF(N574=1,0,MATCH(C574&amp;"|"&amp;(N574-1),$O$5:$O$1004,0)))</f>
        <v/>
      </c>
      <c r="Q574" t="str">
        <f>IF(N574="","",IF(P574=0,SUMIFS(Calcoli!$C$7:$C$21,Calcoli!$A$7:$A$21,C574),INDEX($S$5:$S$1004,P574)))</f>
        <v/>
      </c>
      <c r="R574" t="str">
        <f>IF(N574="","",IF(P574=0,SUMIFS(Calcoli!$D$7:$D$21,Calcoli!$A$7:$A$21,C574),INDEX($T$5:$T$1004,P574)))</f>
        <v/>
      </c>
      <c r="S574" t="str">
        <f>IF(N574="","",IF(B574="Acquisto",Q574+N(D574),MAX(0,Q574-N(D574))))</f>
        <v/>
      </c>
      <c r="T574" t="str">
        <f>IF(N574="","",IF(B574="Acquisto",R574+J574+N(G574),IF(Q574&lt;=0,0,R574*(1-MIN(1,N(D574)/Q574)))))</f>
        <v/>
      </c>
      <c r="U574" t="str">
        <f>IF(B574&lt;&gt;"Vendita","",J574-N(G574)-IF(Q574&lt;=0,0,R574*MIN(1,N(D574)/Q574)))</f>
        <v/>
      </c>
      <c r="V574" t="str">
        <f>IF(B574&lt;&gt;"Dividendo","",IF(Calcoli!$B$251=1,J574,L574))</f>
        <v/>
      </c>
      <c r="W574" t="str">
        <f>IF(AND(V574&lt;&gt;"",ISNUMBER(A574)),A574,"")</f>
        <v/>
      </c>
    </row>
    <row r="575">
      <c r="A575" s="134" t="n"/>
      <c r="B575" s="116" t="n"/>
      <c r="C575" s="116" t="n"/>
      <c r="D575" s="121" t="n"/>
      <c r="E575" s="120" t="n"/>
      <c r="F575" s="120" t="n"/>
      <c r="G575" s="120" t="n"/>
      <c r="H575" s="120" t="n"/>
      <c r="I575" s="117" t="n"/>
      <c r="J575" s="123" t="str">
        <f>IF(B575="","",IF(F575&lt;&gt;"",N(F575),ROUND(N(D575)*N(E575),2)))</f>
        <v/>
      </c>
      <c r="K575" s="123" t="str">
        <f>IF(B575="","",IF(H575&lt;&gt;"",N(H575),IF(B575="Dividendo",ROUND(J575*IFERROR(INDEX(Calcoli!$V$7:$V$21,MATCH(C575,Calcoli!$A$7:$A$21,0)),0.26),2),IF(B575="Vendita",ROUND(MAX(0,U575)*IFERROR(INDEX(Calcoli!$V$7:$V$21,MATCH(C575,Calcoli!$A$7:$A$21,0)),0.26),2),0))))</f>
        <v/>
      </c>
      <c r="L575" s="135" t="str">
        <f>IF(B575="","",IF(B575="Acquisto",-(J575+N(G575)),J575-N(G575)-K575))</f>
        <v/>
      </c>
      <c r="M575" s="127" t="str">
        <f>IF(B575="","",IF(ISNA(MATCH(C575,ETF!$A$7:$A$21,0)),"ETF?",IF(NOT(ISNUMBER(A575)),"Data?",IF(AND(B575&lt;&gt;"Dividendo",N(D575)&lt;=0),"Quote?",IF(AND(B575="Vendita",N(D575)&gt;N(Q575)+0.000001),"Quote?",IF(J575&lt;=0,"Importo?","✓"))))))</f>
        <v/>
      </c>
      <c r="N575" t="str">
        <f>IF(OR(B575="Acquisto",B575="Vendita"),COUNTIFS($C$5:C575,C575,$B$5:B575,"Acquisto")+COUNTIFS($C$5:C575,C575,$B$5:B575,"Vendita"),"")</f>
        <v/>
      </c>
      <c r="O575" t="str">
        <f>IF(N575="","",C575&amp;"|"&amp;N575)</f>
        <v/>
      </c>
      <c r="P575" t="str">
        <f>IF(N575="","",IF(N575=1,0,MATCH(C575&amp;"|"&amp;(N575-1),$O$5:$O$1004,0)))</f>
        <v/>
      </c>
      <c r="Q575" t="str">
        <f>IF(N575="","",IF(P575=0,SUMIFS(Calcoli!$C$7:$C$21,Calcoli!$A$7:$A$21,C575),INDEX($S$5:$S$1004,P575)))</f>
        <v/>
      </c>
      <c r="R575" t="str">
        <f>IF(N575="","",IF(P575=0,SUMIFS(Calcoli!$D$7:$D$21,Calcoli!$A$7:$A$21,C575),INDEX($T$5:$T$1004,P575)))</f>
        <v/>
      </c>
      <c r="S575" t="str">
        <f>IF(N575="","",IF(B575="Acquisto",Q575+N(D575),MAX(0,Q575-N(D575))))</f>
        <v/>
      </c>
      <c r="T575" t="str">
        <f>IF(N575="","",IF(B575="Acquisto",R575+J575+N(G575),IF(Q575&lt;=0,0,R575*(1-MIN(1,N(D575)/Q575)))))</f>
        <v/>
      </c>
      <c r="U575" t="str">
        <f>IF(B575&lt;&gt;"Vendita","",J575-N(G575)-IF(Q575&lt;=0,0,R575*MIN(1,N(D575)/Q575)))</f>
        <v/>
      </c>
      <c r="V575" t="str">
        <f>IF(B575&lt;&gt;"Dividendo","",IF(Calcoli!$B$251=1,J575,L575))</f>
        <v/>
      </c>
      <c r="W575" t="str">
        <f>IF(AND(V575&lt;&gt;"",ISNUMBER(A575)),A575,"")</f>
        <v/>
      </c>
    </row>
    <row r="576">
      <c r="A576" s="134" t="n"/>
      <c r="B576" s="116" t="n"/>
      <c r="C576" s="116" t="n"/>
      <c r="D576" s="121" t="n"/>
      <c r="E576" s="120" t="n"/>
      <c r="F576" s="120" t="n"/>
      <c r="G576" s="120" t="n"/>
      <c r="H576" s="120" t="n"/>
      <c r="I576" s="117" t="n"/>
      <c r="J576" s="123" t="str">
        <f>IF(B576="","",IF(F576&lt;&gt;"",N(F576),ROUND(N(D576)*N(E576),2)))</f>
        <v/>
      </c>
      <c r="K576" s="123" t="str">
        <f>IF(B576="","",IF(H576&lt;&gt;"",N(H576),IF(B576="Dividendo",ROUND(J576*IFERROR(INDEX(Calcoli!$V$7:$V$21,MATCH(C576,Calcoli!$A$7:$A$21,0)),0.26),2),IF(B576="Vendita",ROUND(MAX(0,U576)*IFERROR(INDEX(Calcoli!$V$7:$V$21,MATCH(C576,Calcoli!$A$7:$A$21,0)),0.26),2),0))))</f>
        <v/>
      </c>
      <c r="L576" s="135" t="str">
        <f>IF(B576="","",IF(B576="Acquisto",-(J576+N(G576)),J576-N(G576)-K576))</f>
        <v/>
      </c>
      <c r="M576" s="127" t="str">
        <f>IF(B576="","",IF(ISNA(MATCH(C576,ETF!$A$7:$A$21,0)),"ETF?",IF(NOT(ISNUMBER(A576)),"Data?",IF(AND(B576&lt;&gt;"Dividendo",N(D576)&lt;=0),"Quote?",IF(AND(B576="Vendita",N(D576)&gt;N(Q576)+0.000001),"Quote?",IF(J576&lt;=0,"Importo?","✓"))))))</f>
        <v/>
      </c>
      <c r="N576" t="str">
        <f>IF(OR(B576="Acquisto",B576="Vendita"),COUNTIFS($C$5:C576,C576,$B$5:B576,"Acquisto")+COUNTIFS($C$5:C576,C576,$B$5:B576,"Vendita"),"")</f>
        <v/>
      </c>
      <c r="O576" t="str">
        <f>IF(N576="","",C576&amp;"|"&amp;N576)</f>
        <v/>
      </c>
      <c r="P576" t="str">
        <f>IF(N576="","",IF(N576=1,0,MATCH(C576&amp;"|"&amp;(N576-1),$O$5:$O$1004,0)))</f>
        <v/>
      </c>
      <c r="Q576" t="str">
        <f>IF(N576="","",IF(P576=0,SUMIFS(Calcoli!$C$7:$C$21,Calcoli!$A$7:$A$21,C576),INDEX($S$5:$S$1004,P576)))</f>
        <v/>
      </c>
      <c r="R576" t="str">
        <f>IF(N576="","",IF(P576=0,SUMIFS(Calcoli!$D$7:$D$21,Calcoli!$A$7:$A$21,C576),INDEX($T$5:$T$1004,P576)))</f>
        <v/>
      </c>
      <c r="S576" t="str">
        <f>IF(N576="","",IF(B576="Acquisto",Q576+N(D576),MAX(0,Q576-N(D576))))</f>
        <v/>
      </c>
      <c r="T576" t="str">
        <f>IF(N576="","",IF(B576="Acquisto",R576+J576+N(G576),IF(Q576&lt;=0,0,R576*(1-MIN(1,N(D576)/Q576)))))</f>
        <v/>
      </c>
      <c r="U576" t="str">
        <f>IF(B576&lt;&gt;"Vendita","",J576-N(G576)-IF(Q576&lt;=0,0,R576*MIN(1,N(D576)/Q576)))</f>
        <v/>
      </c>
      <c r="V576" t="str">
        <f>IF(B576&lt;&gt;"Dividendo","",IF(Calcoli!$B$251=1,J576,L576))</f>
        <v/>
      </c>
      <c r="W576" t="str">
        <f>IF(AND(V576&lt;&gt;"",ISNUMBER(A576)),A576,"")</f>
        <v/>
      </c>
    </row>
    <row r="577">
      <c r="A577" s="134" t="n"/>
      <c r="B577" s="116" t="n"/>
      <c r="C577" s="116" t="n"/>
      <c r="D577" s="121" t="n"/>
      <c r="E577" s="120" t="n"/>
      <c r="F577" s="120" t="n"/>
      <c r="G577" s="120" t="n"/>
      <c r="H577" s="120" t="n"/>
      <c r="I577" s="117" t="n"/>
      <c r="J577" s="123" t="str">
        <f>IF(B577="","",IF(F577&lt;&gt;"",N(F577),ROUND(N(D577)*N(E577),2)))</f>
        <v/>
      </c>
      <c r="K577" s="123" t="str">
        <f>IF(B577="","",IF(H577&lt;&gt;"",N(H577),IF(B577="Dividendo",ROUND(J577*IFERROR(INDEX(Calcoli!$V$7:$V$21,MATCH(C577,Calcoli!$A$7:$A$21,0)),0.26),2),IF(B577="Vendita",ROUND(MAX(0,U577)*IFERROR(INDEX(Calcoli!$V$7:$V$21,MATCH(C577,Calcoli!$A$7:$A$21,0)),0.26),2),0))))</f>
        <v/>
      </c>
      <c r="L577" s="135" t="str">
        <f>IF(B577="","",IF(B577="Acquisto",-(J577+N(G577)),J577-N(G577)-K577))</f>
        <v/>
      </c>
      <c r="M577" s="127" t="str">
        <f>IF(B577="","",IF(ISNA(MATCH(C577,ETF!$A$7:$A$21,0)),"ETF?",IF(NOT(ISNUMBER(A577)),"Data?",IF(AND(B577&lt;&gt;"Dividendo",N(D577)&lt;=0),"Quote?",IF(AND(B577="Vendita",N(D577)&gt;N(Q577)+0.000001),"Quote?",IF(J577&lt;=0,"Importo?","✓"))))))</f>
        <v/>
      </c>
      <c r="N577" t="str">
        <f>IF(OR(B577="Acquisto",B577="Vendita"),COUNTIFS($C$5:C577,C577,$B$5:B577,"Acquisto")+COUNTIFS($C$5:C577,C577,$B$5:B577,"Vendita"),"")</f>
        <v/>
      </c>
      <c r="O577" t="str">
        <f>IF(N577="","",C577&amp;"|"&amp;N577)</f>
        <v/>
      </c>
      <c r="P577" t="str">
        <f>IF(N577="","",IF(N577=1,0,MATCH(C577&amp;"|"&amp;(N577-1),$O$5:$O$1004,0)))</f>
        <v/>
      </c>
      <c r="Q577" t="str">
        <f>IF(N577="","",IF(P577=0,SUMIFS(Calcoli!$C$7:$C$21,Calcoli!$A$7:$A$21,C577),INDEX($S$5:$S$1004,P577)))</f>
        <v/>
      </c>
      <c r="R577" t="str">
        <f>IF(N577="","",IF(P577=0,SUMIFS(Calcoli!$D$7:$D$21,Calcoli!$A$7:$A$21,C577),INDEX($T$5:$T$1004,P577)))</f>
        <v/>
      </c>
      <c r="S577" t="str">
        <f>IF(N577="","",IF(B577="Acquisto",Q577+N(D577),MAX(0,Q577-N(D577))))</f>
        <v/>
      </c>
      <c r="T577" t="str">
        <f>IF(N577="","",IF(B577="Acquisto",R577+J577+N(G577),IF(Q577&lt;=0,0,R577*(1-MIN(1,N(D577)/Q577)))))</f>
        <v/>
      </c>
      <c r="U577" t="str">
        <f>IF(B577&lt;&gt;"Vendita","",J577-N(G577)-IF(Q577&lt;=0,0,R577*MIN(1,N(D577)/Q577)))</f>
        <v/>
      </c>
      <c r="V577" t="str">
        <f>IF(B577&lt;&gt;"Dividendo","",IF(Calcoli!$B$251=1,J577,L577))</f>
        <v/>
      </c>
      <c r="W577" t="str">
        <f>IF(AND(V577&lt;&gt;"",ISNUMBER(A577)),A577,"")</f>
        <v/>
      </c>
    </row>
    <row r="578">
      <c r="A578" s="134" t="n"/>
      <c r="B578" s="116" t="n"/>
      <c r="C578" s="116" t="n"/>
      <c r="D578" s="121" t="n"/>
      <c r="E578" s="120" t="n"/>
      <c r="F578" s="120" t="n"/>
      <c r="G578" s="120" t="n"/>
      <c r="H578" s="120" t="n"/>
      <c r="I578" s="117" t="n"/>
      <c r="J578" s="123" t="str">
        <f>IF(B578="","",IF(F578&lt;&gt;"",N(F578),ROUND(N(D578)*N(E578),2)))</f>
        <v/>
      </c>
      <c r="K578" s="123" t="str">
        <f>IF(B578="","",IF(H578&lt;&gt;"",N(H578),IF(B578="Dividendo",ROUND(J578*IFERROR(INDEX(Calcoli!$V$7:$V$21,MATCH(C578,Calcoli!$A$7:$A$21,0)),0.26),2),IF(B578="Vendita",ROUND(MAX(0,U578)*IFERROR(INDEX(Calcoli!$V$7:$V$21,MATCH(C578,Calcoli!$A$7:$A$21,0)),0.26),2),0))))</f>
        <v/>
      </c>
      <c r="L578" s="135" t="str">
        <f>IF(B578="","",IF(B578="Acquisto",-(J578+N(G578)),J578-N(G578)-K578))</f>
        <v/>
      </c>
      <c r="M578" s="127" t="str">
        <f>IF(B578="","",IF(ISNA(MATCH(C578,ETF!$A$7:$A$21,0)),"ETF?",IF(NOT(ISNUMBER(A578)),"Data?",IF(AND(B578&lt;&gt;"Dividendo",N(D578)&lt;=0),"Quote?",IF(AND(B578="Vendita",N(D578)&gt;N(Q578)+0.000001),"Quote?",IF(J578&lt;=0,"Importo?","✓"))))))</f>
        <v/>
      </c>
      <c r="N578" t="str">
        <f>IF(OR(B578="Acquisto",B578="Vendita"),COUNTIFS($C$5:C578,C578,$B$5:B578,"Acquisto")+COUNTIFS($C$5:C578,C578,$B$5:B578,"Vendita"),"")</f>
        <v/>
      </c>
      <c r="O578" t="str">
        <f>IF(N578="","",C578&amp;"|"&amp;N578)</f>
        <v/>
      </c>
      <c r="P578" t="str">
        <f>IF(N578="","",IF(N578=1,0,MATCH(C578&amp;"|"&amp;(N578-1),$O$5:$O$1004,0)))</f>
        <v/>
      </c>
      <c r="Q578" t="str">
        <f>IF(N578="","",IF(P578=0,SUMIFS(Calcoli!$C$7:$C$21,Calcoli!$A$7:$A$21,C578),INDEX($S$5:$S$1004,P578)))</f>
        <v/>
      </c>
      <c r="R578" t="str">
        <f>IF(N578="","",IF(P578=0,SUMIFS(Calcoli!$D$7:$D$21,Calcoli!$A$7:$A$21,C578),INDEX($T$5:$T$1004,P578)))</f>
        <v/>
      </c>
      <c r="S578" t="str">
        <f>IF(N578="","",IF(B578="Acquisto",Q578+N(D578),MAX(0,Q578-N(D578))))</f>
        <v/>
      </c>
      <c r="T578" t="str">
        <f>IF(N578="","",IF(B578="Acquisto",R578+J578+N(G578),IF(Q578&lt;=0,0,R578*(1-MIN(1,N(D578)/Q578)))))</f>
        <v/>
      </c>
      <c r="U578" t="str">
        <f>IF(B578&lt;&gt;"Vendita","",J578-N(G578)-IF(Q578&lt;=0,0,R578*MIN(1,N(D578)/Q578)))</f>
        <v/>
      </c>
      <c r="V578" t="str">
        <f>IF(B578&lt;&gt;"Dividendo","",IF(Calcoli!$B$251=1,J578,L578))</f>
        <v/>
      </c>
      <c r="W578" t="str">
        <f>IF(AND(V578&lt;&gt;"",ISNUMBER(A578)),A578,"")</f>
        <v/>
      </c>
    </row>
    <row r="579">
      <c r="A579" s="134" t="n"/>
      <c r="B579" s="116" t="n"/>
      <c r="C579" s="116" t="n"/>
      <c r="D579" s="121" t="n"/>
      <c r="E579" s="120" t="n"/>
      <c r="F579" s="120" t="n"/>
      <c r="G579" s="120" t="n"/>
      <c r="H579" s="120" t="n"/>
      <c r="I579" s="117" t="n"/>
      <c r="J579" s="123" t="str">
        <f>IF(B579="","",IF(F579&lt;&gt;"",N(F579),ROUND(N(D579)*N(E579),2)))</f>
        <v/>
      </c>
      <c r="K579" s="123" t="str">
        <f>IF(B579="","",IF(H579&lt;&gt;"",N(H579),IF(B579="Dividendo",ROUND(J579*IFERROR(INDEX(Calcoli!$V$7:$V$21,MATCH(C579,Calcoli!$A$7:$A$21,0)),0.26),2),IF(B579="Vendita",ROUND(MAX(0,U579)*IFERROR(INDEX(Calcoli!$V$7:$V$21,MATCH(C579,Calcoli!$A$7:$A$21,0)),0.26),2),0))))</f>
        <v/>
      </c>
      <c r="L579" s="135" t="str">
        <f>IF(B579="","",IF(B579="Acquisto",-(J579+N(G579)),J579-N(G579)-K579))</f>
        <v/>
      </c>
      <c r="M579" s="127" t="str">
        <f>IF(B579="","",IF(ISNA(MATCH(C579,ETF!$A$7:$A$21,0)),"ETF?",IF(NOT(ISNUMBER(A579)),"Data?",IF(AND(B579&lt;&gt;"Dividendo",N(D579)&lt;=0),"Quote?",IF(AND(B579="Vendita",N(D579)&gt;N(Q579)+0.000001),"Quote?",IF(J579&lt;=0,"Importo?","✓"))))))</f>
        <v/>
      </c>
      <c r="N579" t="str">
        <f>IF(OR(B579="Acquisto",B579="Vendita"),COUNTIFS($C$5:C579,C579,$B$5:B579,"Acquisto")+COUNTIFS($C$5:C579,C579,$B$5:B579,"Vendita"),"")</f>
        <v/>
      </c>
      <c r="O579" t="str">
        <f>IF(N579="","",C579&amp;"|"&amp;N579)</f>
        <v/>
      </c>
      <c r="P579" t="str">
        <f>IF(N579="","",IF(N579=1,0,MATCH(C579&amp;"|"&amp;(N579-1),$O$5:$O$1004,0)))</f>
        <v/>
      </c>
      <c r="Q579" t="str">
        <f>IF(N579="","",IF(P579=0,SUMIFS(Calcoli!$C$7:$C$21,Calcoli!$A$7:$A$21,C579),INDEX($S$5:$S$1004,P579)))</f>
        <v/>
      </c>
      <c r="R579" t="str">
        <f>IF(N579="","",IF(P579=0,SUMIFS(Calcoli!$D$7:$D$21,Calcoli!$A$7:$A$21,C579),INDEX($T$5:$T$1004,P579)))</f>
        <v/>
      </c>
      <c r="S579" t="str">
        <f>IF(N579="","",IF(B579="Acquisto",Q579+N(D579),MAX(0,Q579-N(D579))))</f>
        <v/>
      </c>
      <c r="T579" t="str">
        <f>IF(N579="","",IF(B579="Acquisto",R579+J579+N(G579),IF(Q579&lt;=0,0,R579*(1-MIN(1,N(D579)/Q579)))))</f>
        <v/>
      </c>
      <c r="U579" t="str">
        <f>IF(B579&lt;&gt;"Vendita","",J579-N(G579)-IF(Q579&lt;=0,0,R579*MIN(1,N(D579)/Q579)))</f>
        <v/>
      </c>
      <c r="V579" t="str">
        <f>IF(B579&lt;&gt;"Dividendo","",IF(Calcoli!$B$251=1,J579,L579))</f>
        <v/>
      </c>
      <c r="W579" t="str">
        <f>IF(AND(V579&lt;&gt;"",ISNUMBER(A579)),A579,"")</f>
        <v/>
      </c>
    </row>
    <row r="580">
      <c r="A580" s="134" t="n"/>
      <c r="B580" s="116" t="n"/>
      <c r="C580" s="116" t="n"/>
      <c r="D580" s="121" t="n"/>
      <c r="E580" s="120" t="n"/>
      <c r="F580" s="120" t="n"/>
      <c r="G580" s="120" t="n"/>
      <c r="H580" s="120" t="n"/>
      <c r="I580" s="117" t="n"/>
      <c r="J580" s="123" t="str">
        <f>IF(B580="","",IF(F580&lt;&gt;"",N(F580),ROUND(N(D580)*N(E580),2)))</f>
        <v/>
      </c>
      <c r="K580" s="123" t="str">
        <f>IF(B580="","",IF(H580&lt;&gt;"",N(H580),IF(B580="Dividendo",ROUND(J580*IFERROR(INDEX(Calcoli!$V$7:$V$21,MATCH(C580,Calcoli!$A$7:$A$21,0)),0.26),2),IF(B580="Vendita",ROUND(MAX(0,U580)*IFERROR(INDEX(Calcoli!$V$7:$V$21,MATCH(C580,Calcoli!$A$7:$A$21,0)),0.26),2),0))))</f>
        <v/>
      </c>
      <c r="L580" s="135" t="str">
        <f>IF(B580="","",IF(B580="Acquisto",-(J580+N(G580)),J580-N(G580)-K580))</f>
        <v/>
      </c>
      <c r="M580" s="127" t="str">
        <f>IF(B580="","",IF(ISNA(MATCH(C580,ETF!$A$7:$A$21,0)),"ETF?",IF(NOT(ISNUMBER(A580)),"Data?",IF(AND(B580&lt;&gt;"Dividendo",N(D580)&lt;=0),"Quote?",IF(AND(B580="Vendita",N(D580)&gt;N(Q580)+0.000001),"Quote?",IF(J580&lt;=0,"Importo?","✓"))))))</f>
        <v/>
      </c>
      <c r="N580" t="str">
        <f>IF(OR(B580="Acquisto",B580="Vendita"),COUNTIFS($C$5:C580,C580,$B$5:B580,"Acquisto")+COUNTIFS($C$5:C580,C580,$B$5:B580,"Vendita"),"")</f>
        <v/>
      </c>
      <c r="O580" t="str">
        <f>IF(N580="","",C580&amp;"|"&amp;N580)</f>
        <v/>
      </c>
      <c r="P580" t="str">
        <f>IF(N580="","",IF(N580=1,0,MATCH(C580&amp;"|"&amp;(N580-1),$O$5:$O$1004,0)))</f>
        <v/>
      </c>
      <c r="Q580" t="str">
        <f>IF(N580="","",IF(P580=0,SUMIFS(Calcoli!$C$7:$C$21,Calcoli!$A$7:$A$21,C580),INDEX($S$5:$S$1004,P580)))</f>
        <v/>
      </c>
      <c r="R580" t="str">
        <f>IF(N580="","",IF(P580=0,SUMIFS(Calcoli!$D$7:$D$21,Calcoli!$A$7:$A$21,C580),INDEX($T$5:$T$1004,P580)))</f>
        <v/>
      </c>
      <c r="S580" t="str">
        <f>IF(N580="","",IF(B580="Acquisto",Q580+N(D580),MAX(0,Q580-N(D580))))</f>
        <v/>
      </c>
      <c r="T580" t="str">
        <f>IF(N580="","",IF(B580="Acquisto",R580+J580+N(G580),IF(Q580&lt;=0,0,R580*(1-MIN(1,N(D580)/Q580)))))</f>
        <v/>
      </c>
      <c r="U580" t="str">
        <f>IF(B580&lt;&gt;"Vendita","",J580-N(G580)-IF(Q580&lt;=0,0,R580*MIN(1,N(D580)/Q580)))</f>
        <v/>
      </c>
      <c r="V580" t="str">
        <f>IF(B580&lt;&gt;"Dividendo","",IF(Calcoli!$B$251=1,J580,L580))</f>
        <v/>
      </c>
      <c r="W580" t="str">
        <f>IF(AND(V580&lt;&gt;"",ISNUMBER(A580)),A580,"")</f>
        <v/>
      </c>
    </row>
    <row r="581">
      <c r="A581" s="134" t="n"/>
      <c r="B581" s="116" t="n"/>
      <c r="C581" s="116" t="n"/>
      <c r="D581" s="121" t="n"/>
      <c r="E581" s="120" t="n"/>
      <c r="F581" s="120" t="n"/>
      <c r="G581" s="120" t="n"/>
      <c r="H581" s="120" t="n"/>
      <c r="I581" s="117" t="n"/>
      <c r="J581" s="123" t="str">
        <f>IF(B581="","",IF(F581&lt;&gt;"",N(F581),ROUND(N(D581)*N(E581),2)))</f>
        <v/>
      </c>
      <c r="K581" s="123" t="str">
        <f>IF(B581="","",IF(H581&lt;&gt;"",N(H581),IF(B581="Dividendo",ROUND(J581*IFERROR(INDEX(Calcoli!$V$7:$V$21,MATCH(C581,Calcoli!$A$7:$A$21,0)),0.26),2),IF(B581="Vendita",ROUND(MAX(0,U581)*IFERROR(INDEX(Calcoli!$V$7:$V$21,MATCH(C581,Calcoli!$A$7:$A$21,0)),0.26),2),0))))</f>
        <v/>
      </c>
      <c r="L581" s="135" t="str">
        <f>IF(B581="","",IF(B581="Acquisto",-(J581+N(G581)),J581-N(G581)-K581))</f>
        <v/>
      </c>
      <c r="M581" s="127" t="str">
        <f>IF(B581="","",IF(ISNA(MATCH(C581,ETF!$A$7:$A$21,0)),"ETF?",IF(NOT(ISNUMBER(A581)),"Data?",IF(AND(B581&lt;&gt;"Dividendo",N(D581)&lt;=0),"Quote?",IF(AND(B581="Vendita",N(D581)&gt;N(Q581)+0.000001),"Quote?",IF(J581&lt;=0,"Importo?","✓"))))))</f>
        <v/>
      </c>
      <c r="N581" t="str">
        <f>IF(OR(B581="Acquisto",B581="Vendita"),COUNTIFS($C$5:C581,C581,$B$5:B581,"Acquisto")+COUNTIFS($C$5:C581,C581,$B$5:B581,"Vendita"),"")</f>
        <v/>
      </c>
      <c r="O581" t="str">
        <f>IF(N581="","",C581&amp;"|"&amp;N581)</f>
        <v/>
      </c>
      <c r="P581" t="str">
        <f>IF(N581="","",IF(N581=1,0,MATCH(C581&amp;"|"&amp;(N581-1),$O$5:$O$1004,0)))</f>
        <v/>
      </c>
      <c r="Q581" t="str">
        <f>IF(N581="","",IF(P581=0,SUMIFS(Calcoli!$C$7:$C$21,Calcoli!$A$7:$A$21,C581),INDEX($S$5:$S$1004,P581)))</f>
        <v/>
      </c>
      <c r="R581" t="str">
        <f>IF(N581="","",IF(P581=0,SUMIFS(Calcoli!$D$7:$D$21,Calcoli!$A$7:$A$21,C581),INDEX($T$5:$T$1004,P581)))</f>
        <v/>
      </c>
      <c r="S581" t="str">
        <f>IF(N581="","",IF(B581="Acquisto",Q581+N(D581),MAX(0,Q581-N(D581))))</f>
        <v/>
      </c>
      <c r="T581" t="str">
        <f>IF(N581="","",IF(B581="Acquisto",R581+J581+N(G581),IF(Q581&lt;=0,0,R581*(1-MIN(1,N(D581)/Q581)))))</f>
        <v/>
      </c>
      <c r="U581" t="str">
        <f>IF(B581&lt;&gt;"Vendita","",J581-N(G581)-IF(Q581&lt;=0,0,R581*MIN(1,N(D581)/Q581)))</f>
        <v/>
      </c>
      <c r="V581" t="str">
        <f>IF(B581&lt;&gt;"Dividendo","",IF(Calcoli!$B$251=1,J581,L581))</f>
        <v/>
      </c>
      <c r="W581" t="str">
        <f>IF(AND(V581&lt;&gt;"",ISNUMBER(A581)),A581,"")</f>
        <v/>
      </c>
    </row>
    <row r="582">
      <c r="A582" s="134" t="n"/>
      <c r="B582" s="116" t="n"/>
      <c r="C582" s="116" t="n"/>
      <c r="D582" s="121" t="n"/>
      <c r="E582" s="120" t="n"/>
      <c r="F582" s="120" t="n"/>
      <c r="G582" s="120" t="n"/>
      <c r="H582" s="120" t="n"/>
      <c r="I582" s="117" t="n"/>
      <c r="J582" s="123" t="str">
        <f>IF(B582="","",IF(F582&lt;&gt;"",N(F582),ROUND(N(D582)*N(E582),2)))</f>
        <v/>
      </c>
      <c r="K582" s="123" t="str">
        <f>IF(B582="","",IF(H582&lt;&gt;"",N(H582),IF(B582="Dividendo",ROUND(J582*IFERROR(INDEX(Calcoli!$V$7:$V$21,MATCH(C582,Calcoli!$A$7:$A$21,0)),0.26),2),IF(B582="Vendita",ROUND(MAX(0,U582)*IFERROR(INDEX(Calcoli!$V$7:$V$21,MATCH(C582,Calcoli!$A$7:$A$21,0)),0.26),2),0))))</f>
        <v/>
      </c>
      <c r="L582" s="135" t="str">
        <f>IF(B582="","",IF(B582="Acquisto",-(J582+N(G582)),J582-N(G582)-K582))</f>
        <v/>
      </c>
      <c r="M582" s="127" t="str">
        <f>IF(B582="","",IF(ISNA(MATCH(C582,ETF!$A$7:$A$21,0)),"ETF?",IF(NOT(ISNUMBER(A582)),"Data?",IF(AND(B582&lt;&gt;"Dividendo",N(D582)&lt;=0),"Quote?",IF(AND(B582="Vendita",N(D582)&gt;N(Q582)+0.000001),"Quote?",IF(J582&lt;=0,"Importo?","✓"))))))</f>
        <v/>
      </c>
      <c r="N582" t="str">
        <f>IF(OR(B582="Acquisto",B582="Vendita"),COUNTIFS($C$5:C582,C582,$B$5:B582,"Acquisto")+COUNTIFS($C$5:C582,C582,$B$5:B582,"Vendita"),"")</f>
        <v/>
      </c>
      <c r="O582" t="str">
        <f>IF(N582="","",C582&amp;"|"&amp;N582)</f>
        <v/>
      </c>
      <c r="P582" t="str">
        <f>IF(N582="","",IF(N582=1,0,MATCH(C582&amp;"|"&amp;(N582-1),$O$5:$O$1004,0)))</f>
        <v/>
      </c>
      <c r="Q582" t="str">
        <f>IF(N582="","",IF(P582=0,SUMIFS(Calcoli!$C$7:$C$21,Calcoli!$A$7:$A$21,C582),INDEX($S$5:$S$1004,P582)))</f>
        <v/>
      </c>
      <c r="R582" t="str">
        <f>IF(N582="","",IF(P582=0,SUMIFS(Calcoli!$D$7:$D$21,Calcoli!$A$7:$A$21,C582),INDEX($T$5:$T$1004,P582)))</f>
        <v/>
      </c>
      <c r="S582" t="str">
        <f>IF(N582="","",IF(B582="Acquisto",Q582+N(D582),MAX(0,Q582-N(D582))))</f>
        <v/>
      </c>
      <c r="T582" t="str">
        <f>IF(N582="","",IF(B582="Acquisto",R582+J582+N(G582),IF(Q582&lt;=0,0,R582*(1-MIN(1,N(D582)/Q582)))))</f>
        <v/>
      </c>
      <c r="U582" t="str">
        <f>IF(B582&lt;&gt;"Vendita","",J582-N(G582)-IF(Q582&lt;=0,0,R582*MIN(1,N(D582)/Q582)))</f>
        <v/>
      </c>
      <c r="V582" t="str">
        <f>IF(B582&lt;&gt;"Dividendo","",IF(Calcoli!$B$251=1,J582,L582))</f>
        <v/>
      </c>
      <c r="W582" t="str">
        <f>IF(AND(V582&lt;&gt;"",ISNUMBER(A582)),A582,"")</f>
        <v/>
      </c>
    </row>
    <row r="583">
      <c r="A583" s="134" t="n"/>
      <c r="B583" s="116" t="n"/>
      <c r="C583" s="116" t="n"/>
      <c r="D583" s="121" t="n"/>
      <c r="E583" s="120" t="n"/>
      <c r="F583" s="120" t="n"/>
      <c r="G583" s="120" t="n"/>
      <c r="H583" s="120" t="n"/>
      <c r="I583" s="117" t="n"/>
      <c r="J583" s="123" t="str">
        <f>IF(B583="","",IF(F583&lt;&gt;"",N(F583),ROUND(N(D583)*N(E583),2)))</f>
        <v/>
      </c>
      <c r="K583" s="123" t="str">
        <f>IF(B583="","",IF(H583&lt;&gt;"",N(H583),IF(B583="Dividendo",ROUND(J583*IFERROR(INDEX(Calcoli!$V$7:$V$21,MATCH(C583,Calcoli!$A$7:$A$21,0)),0.26),2),IF(B583="Vendita",ROUND(MAX(0,U583)*IFERROR(INDEX(Calcoli!$V$7:$V$21,MATCH(C583,Calcoli!$A$7:$A$21,0)),0.26),2),0))))</f>
        <v/>
      </c>
      <c r="L583" s="135" t="str">
        <f>IF(B583="","",IF(B583="Acquisto",-(J583+N(G583)),J583-N(G583)-K583))</f>
        <v/>
      </c>
      <c r="M583" s="127" t="str">
        <f>IF(B583="","",IF(ISNA(MATCH(C583,ETF!$A$7:$A$21,0)),"ETF?",IF(NOT(ISNUMBER(A583)),"Data?",IF(AND(B583&lt;&gt;"Dividendo",N(D583)&lt;=0),"Quote?",IF(AND(B583="Vendita",N(D583)&gt;N(Q583)+0.000001),"Quote?",IF(J583&lt;=0,"Importo?","✓"))))))</f>
        <v/>
      </c>
      <c r="N583" t="str">
        <f>IF(OR(B583="Acquisto",B583="Vendita"),COUNTIFS($C$5:C583,C583,$B$5:B583,"Acquisto")+COUNTIFS($C$5:C583,C583,$B$5:B583,"Vendita"),"")</f>
        <v/>
      </c>
      <c r="O583" t="str">
        <f>IF(N583="","",C583&amp;"|"&amp;N583)</f>
        <v/>
      </c>
      <c r="P583" t="str">
        <f>IF(N583="","",IF(N583=1,0,MATCH(C583&amp;"|"&amp;(N583-1),$O$5:$O$1004,0)))</f>
        <v/>
      </c>
      <c r="Q583" t="str">
        <f>IF(N583="","",IF(P583=0,SUMIFS(Calcoli!$C$7:$C$21,Calcoli!$A$7:$A$21,C583),INDEX($S$5:$S$1004,P583)))</f>
        <v/>
      </c>
      <c r="R583" t="str">
        <f>IF(N583="","",IF(P583=0,SUMIFS(Calcoli!$D$7:$D$21,Calcoli!$A$7:$A$21,C583),INDEX($T$5:$T$1004,P583)))</f>
        <v/>
      </c>
      <c r="S583" t="str">
        <f>IF(N583="","",IF(B583="Acquisto",Q583+N(D583),MAX(0,Q583-N(D583))))</f>
        <v/>
      </c>
      <c r="T583" t="str">
        <f>IF(N583="","",IF(B583="Acquisto",R583+J583+N(G583),IF(Q583&lt;=0,0,R583*(1-MIN(1,N(D583)/Q583)))))</f>
        <v/>
      </c>
      <c r="U583" t="str">
        <f>IF(B583&lt;&gt;"Vendita","",J583-N(G583)-IF(Q583&lt;=0,0,R583*MIN(1,N(D583)/Q583)))</f>
        <v/>
      </c>
      <c r="V583" t="str">
        <f>IF(B583&lt;&gt;"Dividendo","",IF(Calcoli!$B$251=1,J583,L583))</f>
        <v/>
      </c>
      <c r="W583" t="str">
        <f>IF(AND(V583&lt;&gt;"",ISNUMBER(A583)),A583,"")</f>
        <v/>
      </c>
    </row>
    <row r="584">
      <c r="A584" s="134" t="n"/>
      <c r="B584" s="116" t="n"/>
      <c r="C584" s="116" t="n"/>
      <c r="D584" s="121" t="n"/>
      <c r="E584" s="120" t="n"/>
      <c r="F584" s="120" t="n"/>
      <c r="G584" s="120" t="n"/>
      <c r="H584" s="120" t="n"/>
      <c r="I584" s="117" t="n"/>
      <c r="J584" s="123" t="str">
        <f>IF(B584="","",IF(F584&lt;&gt;"",N(F584),ROUND(N(D584)*N(E584),2)))</f>
        <v/>
      </c>
      <c r="K584" s="123" t="str">
        <f>IF(B584="","",IF(H584&lt;&gt;"",N(H584),IF(B584="Dividendo",ROUND(J584*IFERROR(INDEX(Calcoli!$V$7:$V$21,MATCH(C584,Calcoli!$A$7:$A$21,0)),0.26),2),IF(B584="Vendita",ROUND(MAX(0,U584)*IFERROR(INDEX(Calcoli!$V$7:$V$21,MATCH(C584,Calcoli!$A$7:$A$21,0)),0.26),2),0))))</f>
        <v/>
      </c>
      <c r="L584" s="135" t="str">
        <f>IF(B584="","",IF(B584="Acquisto",-(J584+N(G584)),J584-N(G584)-K584))</f>
        <v/>
      </c>
      <c r="M584" s="127" t="str">
        <f>IF(B584="","",IF(ISNA(MATCH(C584,ETF!$A$7:$A$21,0)),"ETF?",IF(NOT(ISNUMBER(A584)),"Data?",IF(AND(B584&lt;&gt;"Dividendo",N(D584)&lt;=0),"Quote?",IF(AND(B584="Vendita",N(D584)&gt;N(Q584)+0.000001),"Quote?",IF(J584&lt;=0,"Importo?","✓"))))))</f>
        <v/>
      </c>
      <c r="N584" t="str">
        <f>IF(OR(B584="Acquisto",B584="Vendita"),COUNTIFS($C$5:C584,C584,$B$5:B584,"Acquisto")+COUNTIFS($C$5:C584,C584,$B$5:B584,"Vendita"),"")</f>
        <v/>
      </c>
      <c r="O584" t="str">
        <f>IF(N584="","",C584&amp;"|"&amp;N584)</f>
        <v/>
      </c>
      <c r="P584" t="str">
        <f>IF(N584="","",IF(N584=1,0,MATCH(C584&amp;"|"&amp;(N584-1),$O$5:$O$1004,0)))</f>
        <v/>
      </c>
      <c r="Q584" t="str">
        <f>IF(N584="","",IF(P584=0,SUMIFS(Calcoli!$C$7:$C$21,Calcoli!$A$7:$A$21,C584),INDEX($S$5:$S$1004,P584)))</f>
        <v/>
      </c>
      <c r="R584" t="str">
        <f>IF(N584="","",IF(P584=0,SUMIFS(Calcoli!$D$7:$D$21,Calcoli!$A$7:$A$21,C584),INDEX($T$5:$T$1004,P584)))</f>
        <v/>
      </c>
      <c r="S584" t="str">
        <f>IF(N584="","",IF(B584="Acquisto",Q584+N(D584),MAX(0,Q584-N(D584))))</f>
        <v/>
      </c>
      <c r="T584" t="str">
        <f>IF(N584="","",IF(B584="Acquisto",R584+J584+N(G584),IF(Q584&lt;=0,0,R584*(1-MIN(1,N(D584)/Q584)))))</f>
        <v/>
      </c>
      <c r="U584" t="str">
        <f>IF(B584&lt;&gt;"Vendita","",J584-N(G584)-IF(Q584&lt;=0,0,R584*MIN(1,N(D584)/Q584)))</f>
        <v/>
      </c>
      <c r="V584" t="str">
        <f>IF(B584&lt;&gt;"Dividendo","",IF(Calcoli!$B$251=1,J584,L584))</f>
        <v/>
      </c>
      <c r="W584" t="str">
        <f>IF(AND(V584&lt;&gt;"",ISNUMBER(A584)),A584,"")</f>
        <v/>
      </c>
    </row>
    <row r="585">
      <c r="A585" s="134" t="n"/>
      <c r="B585" s="116" t="n"/>
      <c r="C585" s="116" t="n"/>
      <c r="D585" s="121" t="n"/>
      <c r="E585" s="120" t="n"/>
      <c r="F585" s="120" t="n"/>
      <c r="G585" s="120" t="n"/>
      <c r="H585" s="120" t="n"/>
      <c r="I585" s="117" t="n"/>
      <c r="J585" s="123" t="str">
        <f>IF(B585="","",IF(F585&lt;&gt;"",N(F585),ROUND(N(D585)*N(E585),2)))</f>
        <v/>
      </c>
      <c r="K585" s="123" t="str">
        <f>IF(B585="","",IF(H585&lt;&gt;"",N(H585),IF(B585="Dividendo",ROUND(J585*IFERROR(INDEX(Calcoli!$V$7:$V$21,MATCH(C585,Calcoli!$A$7:$A$21,0)),0.26),2),IF(B585="Vendita",ROUND(MAX(0,U585)*IFERROR(INDEX(Calcoli!$V$7:$V$21,MATCH(C585,Calcoli!$A$7:$A$21,0)),0.26),2),0))))</f>
        <v/>
      </c>
      <c r="L585" s="135" t="str">
        <f>IF(B585="","",IF(B585="Acquisto",-(J585+N(G585)),J585-N(G585)-K585))</f>
        <v/>
      </c>
      <c r="M585" s="127" t="str">
        <f>IF(B585="","",IF(ISNA(MATCH(C585,ETF!$A$7:$A$21,0)),"ETF?",IF(NOT(ISNUMBER(A585)),"Data?",IF(AND(B585&lt;&gt;"Dividendo",N(D585)&lt;=0),"Quote?",IF(AND(B585="Vendita",N(D585)&gt;N(Q585)+0.000001),"Quote?",IF(J585&lt;=0,"Importo?","✓"))))))</f>
        <v/>
      </c>
      <c r="N585" t="str">
        <f>IF(OR(B585="Acquisto",B585="Vendita"),COUNTIFS($C$5:C585,C585,$B$5:B585,"Acquisto")+COUNTIFS($C$5:C585,C585,$B$5:B585,"Vendita"),"")</f>
        <v/>
      </c>
      <c r="O585" t="str">
        <f>IF(N585="","",C585&amp;"|"&amp;N585)</f>
        <v/>
      </c>
      <c r="P585" t="str">
        <f>IF(N585="","",IF(N585=1,0,MATCH(C585&amp;"|"&amp;(N585-1),$O$5:$O$1004,0)))</f>
        <v/>
      </c>
      <c r="Q585" t="str">
        <f>IF(N585="","",IF(P585=0,SUMIFS(Calcoli!$C$7:$C$21,Calcoli!$A$7:$A$21,C585),INDEX($S$5:$S$1004,P585)))</f>
        <v/>
      </c>
      <c r="R585" t="str">
        <f>IF(N585="","",IF(P585=0,SUMIFS(Calcoli!$D$7:$D$21,Calcoli!$A$7:$A$21,C585),INDEX($T$5:$T$1004,P585)))</f>
        <v/>
      </c>
      <c r="S585" t="str">
        <f>IF(N585="","",IF(B585="Acquisto",Q585+N(D585),MAX(0,Q585-N(D585))))</f>
        <v/>
      </c>
      <c r="T585" t="str">
        <f>IF(N585="","",IF(B585="Acquisto",R585+J585+N(G585),IF(Q585&lt;=0,0,R585*(1-MIN(1,N(D585)/Q585)))))</f>
        <v/>
      </c>
      <c r="U585" t="str">
        <f>IF(B585&lt;&gt;"Vendita","",J585-N(G585)-IF(Q585&lt;=0,0,R585*MIN(1,N(D585)/Q585)))</f>
        <v/>
      </c>
      <c r="V585" t="str">
        <f>IF(B585&lt;&gt;"Dividendo","",IF(Calcoli!$B$251=1,J585,L585))</f>
        <v/>
      </c>
      <c r="W585" t="str">
        <f>IF(AND(V585&lt;&gt;"",ISNUMBER(A585)),A585,"")</f>
        <v/>
      </c>
    </row>
    <row r="586">
      <c r="A586" s="134" t="n"/>
      <c r="B586" s="116" t="n"/>
      <c r="C586" s="116" t="n"/>
      <c r="D586" s="121" t="n"/>
      <c r="E586" s="120" t="n"/>
      <c r="F586" s="120" t="n"/>
      <c r="G586" s="120" t="n"/>
      <c r="H586" s="120" t="n"/>
      <c r="I586" s="117" t="n"/>
      <c r="J586" s="123" t="str">
        <f>IF(B586="","",IF(F586&lt;&gt;"",N(F586),ROUND(N(D586)*N(E586),2)))</f>
        <v/>
      </c>
      <c r="K586" s="123" t="str">
        <f>IF(B586="","",IF(H586&lt;&gt;"",N(H586),IF(B586="Dividendo",ROUND(J586*IFERROR(INDEX(Calcoli!$V$7:$V$21,MATCH(C586,Calcoli!$A$7:$A$21,0)),0.26),2),IF(B586="Vendita",ROUND(MAX(0,U586)*IFERROR(INDEX(Calcoli!$V$7:$V$21,MATCH(C586,Calcoli!$A$7:$A$21,0)),0.26),2),0))))</f>
        <v/>
      </c>
      <c r="L586" s="135" t="str">
        <f>IF(B586="","",IF(B586="Acquisto",-(J586+N(G586)),J586-N(G586)-K586))</f>
        <v/>
      </c>
      <c r="M586" s="127" t="str">
        <f>IF(B586="","",IF(ISNA(MATCH(C586,ETF!$A$7:$A$21,0)),"ETF?",IF(NOT(ISNUMBER(A586)),"Data?",IF(AND(B586&lt;&gt;"Dividendo",N(D586)&lt;=0),"Quote?",IF(AND(B586="Vendita",N(D586)&gt;N(Q586)+0.000001),"Quote?",IF(J586&lt;=0,"Importo?","✓"))))))</f>
        <v/>
      </c>
      <c r="N586" t="str">
        <f>IF(OR(B586="Acquisto",B586="Vendita"),COUNTIFS($C$5:C586,C586,$B$5:B586,"Acquisto")+COUNTIFS($C$5:C586,C586,$B$5:B586,"Vendita"),"")</f>
        <v/>
      </c>
      <c r="O586" t="str">
        <f>IF(N586="","",C586&amp;"|"&amp;N586)</f>
        <v/>
      </c>
      <c r="P586" t="str">
        <f>IF(N586="","",IF(N586=1,0,MATCH(C586&amp;"|"&amp;(N586-1),$O$5:$O$1004,0)))</f>
        <v/>
      </c>
      <c r="Q586" t="str">
        <f>IF(N586="","",IF(P586=0,SUMIFS(Calcoli!$C$7:$C$21,Calcoli!$A$7:$A$21,C586),INDEX($S$5:$S$1004,P586)))</f>
        <v/>
      </c>
      <c r="R586" t="str">
        <f>IF(N586="","",IF(P586=0,SUMIFS(Calcoli!$D$7:$D$21,Calcoli!$A$7:$A$21,C586),INDEX($T$5:$T$1004,P586)))</f>
        <v/>
      </c>
      <c r="S586" t="str">
        <f>IF(N586="","",IF(B586="Acquisto",Q586+N(D586),MAX(0,Q586-N(D586))))</f>
        <v/>
      </c>
      <c r="T586" t="str">
        <f>IF(N586="","",IF(B586="Acquisto",R586+J586+N(G586),IF(Q586&lt;=0,0,R586*(1-MIN(1,N(D586)/Q586)))))</f>
        <v/>
      </c>
      <c r="U586" t="str">
        <f>IF(B586&lt;&gt;"Vendita","",J586-N(G586)-IF(Q586&lt;=0,0,R586*MIN(1,N(D586)/Q586)))</f>
        <v/>
      </c>
      <c r="V586" t="str">
        <f>IF(B586&lt;&gt;"Dividendo","",IF(Calcoli!$B$251=1,J586,L586))</f>
        <v/>
      </c>
      <c r="W586" t="str">
        <f>IF(AND(V586&lt;&gt;"",ISNUMBER(A586)),A586,"")</f>
        <v/>
      </c>
    </row>
    <row r="587">
      <c r="A587" s="134" t="n"/>
      <c r="B587" s="116" t="n"/>
      <c r="C587" s="116" t="n"/>
      <c r="D587" s="121" t="n"/>
      <c r="E587" s="120" t="n"/>
      <c r="F587" s="120" t="n"/>
      <c r="G587" s="120" t="n"/>
      <c r="H587" s="120" t="n"/>
      <c r="I587" s="117" t="n"/>
      <c r="J587" s="123" t="str">
        <f>IF(B587="","",IF(F587&lt;&gt;"",N(F587),ROUND(N(D587)*N(E587),2)))</f>
        <v/>
      </c>
      <c r="K587" s="123" t="str">
        <f>IF(B587="","",IF(H587&lt;&gt;"",N(H587),IF(B587="Dividendo",ROUND(J587*IFERROR(INDEX(Calcoli!$V$7:$V$21,MATCH(C587,Calcoli!$A$7:$A$21,0)),0.26),2),IF(B587="Vendita",ROUND(MAX(0,U587)*IFERROR(INDEX(Calcoli!$V$7:$V$21,MATCH(C587,Calcoli!$A$7:$A$21,0)),0.26),2),0))))</f>
        <v/>
      </c>
      <c r="L587" s="135" t="str">
        <f>IF(B587="","",IF(B587="Acquisto",-(J587+N(G587)),J587-N(G587)-K587))</f>
        <v/>
      </c>
      <c r="M587" s="127" t="str">
        <f>IF(B587="","",IF(ISNA(MATCH(C587,ETF!$A$7:$A$21,0)),"ETF?",IF(NOT(ISNUMBER(A587)),"Data?",IF(AND(B587&lt;&gt;"Dividendo",N(D587)&lt;=0),"Quote?",IF(AND(B587="Vendita",N(D587)&gt;N(Q587)+0.000001),"Quote?",IF(J587&lt;=0,"Importo?","✓"))))))</f>
        <v/>
      </c>
      <c r="N587" t="str">
        <f>IF(OR(B587="Acquisto",B587="Vendita"),COUNTIFS($C$5:C587,C587,$B$5:B587,"Acquisto")+COUNTIFS($C$5:C587,C587,$B$5:B587,"Vendita"),"")</f>
        <v/>
      </c>
      <c r="O587" t="str">
        <f>IF(N587="","",C587&amp;"|"&amp;N587)</f>
        <v/>
      </c>
      <c r="P587" t="str">
        <f>IF(N587="","",IF(N587=1,0,MATCH(C587&amp;"|"&amp;(N587-1),$O$5:$O$1004,0)))</f>
        <v/>
      </c>
      <c r="Q587" t="str">
        <f>IF(N587="","",IF(P587=0,SUMIFS(Calcoli!$C$7:$C$21,Calcoli!$A$7:$A$21,C587),INDEX($S$5:$S$1004,P587)))</f>
        <v/>
      </c>
      <c r="R587" t="str">
        <f>IF(N587="","",IF(P587=0,SUMIFS(Calcoli!$D$7:$D$21,Calcoli!$A$7:$A$21,C587),INDEX($T$5:$T$1004,P587)))</f>
        <v/>
      </c>
      <c r="S587" t="str">
        <f>IF(N587="","",IF(B587="Acquisto",Q587+N(D587),MAX(0,Q587-N(D587))))</f>
        <v/>
      </c>
      <c r="T587" t="str">
        <f>IF(N587="","",IF(B587="Acquisto",R587+J587+N(G587),IF(Q587&lt;=0,0,R587*(1-MIN(1,N(D587)/Q587)))))</f>
        <v/>
      </c>
      <c r="U587" t="str">
        <f>IF(B587&lt;&gt;"Vendita","",J587-N(G587)-IF(Q587&lt;=0,0,R587*MIN(1,N(D587)/Q587)))</f>
        <v/>
      </c>
      <c r="V587" t="str">
        <f>IF(B587&lt;&gt;"Dividendo","",IF(Calcoli!$B$251=1,J587,L587))</f>
        <v/>
      </c>
      <c r="W587" t="str">
        <f>IF(AND(V587&lt;&gt;"",ISNUMBER(A587)),A587,"")</f>
        <v/>
      </c>
    </row>
    <row r="588">
      <c r="A588" s="134" t="n"/>
      <c r="B588" s="116" t="n"/>
      <c r="C588" s="116" t="n"/>
      <c r="D588" s="121" t="n"/>
      <c r="E588" s="120" t="n"/>
      <c r="F588" s="120" t="n"/>
      <c r="G588" s="120" t="n"/>
      <c r="H588" s="120" t="n"/>
      <c r="I588" s="117" t="n"/>
      <c r="J588" s="123" t="str">
        <f>IF(B588="","",IF(F588&lt;&gt;"",N(F588),ROUND(N(D588)*N(E588),2)))</f>
        <v/>
      </c>
      <c r="K588" s="123" t="str">
        <f>IF(B588="","",IF(H588&lt;&gt;"",N(H588),IF(B588="Dividendo",ROUND(J588*IFERROR(INDEX(Calcoli!$V$7:$V$21,MATCH(C588,Calcoli!$A$7:$A$21,0)),0.26),2),IF(B588="Vendita",ROUND(MAX(0,U588)*IFERROR(INDEX(Calcoli!$V$7:$V$21,MATCH(C588,Calcoli!$A$7:$A$21,0)),0.26),2),0))))</f>
        <v/>
      </c>
      <c r="L588" s="135" t="str">
        <f>IF(B588="","",IF(B588="Acquisto",-(J588+N(G588)),J588-N(G588)-K588))</f>
        <v/>
      </c>
      <c r="M588" s="127" t="str">
        <f>IF(B588="","",IF(ISNA(MATCH(C588,ETF!$A$7:$A$21,0)),"ETF?",IF(NOT(ISNUMBER(A588)),"Data?",IF(AND(B588&lt;&gt;"Dividendo",N(D588)&lt;=0),"Quote?",IF(AND(B588="Vendita",N(D588)&gt;N(Q588)+0.000001),"Quote?",IF(J588&lt;=0,"Importo?","✓"))))))</f>
        <v/>
      </c>
      <c r="N588" t="str">
        <f>IF(OR(B588="Acquisto",B588="Vendita"),COUNTIFS($C$5:C588,C588,$B$5:B588,"Acquisto")+COUNTIFS($C$5:C588,C588,$B$5:B588,"Vendita"),"")</f>
        <v/>
      </c>
      <c r="O588" t="str">
        <f>IF(N588="","",C588&amp;"|"&amp;N588)</f>
        <v/>
      </c>
      <c r="P588" t="str">
        <f>IF(N588="","",IF(N588=1,0,MATCH(C588&amp;"|"&amp;(N588-1),$O$5:$O$1004,0)))</f>
        <v/>
      </c>
      <c r="Q588" t="str">
        <f>IF(N588="","",IF(P588=0,SUMIFS(Calcoli!$C$7:$C$21,Calcoli!$A$7:$A$21,C588),INDEX($S$5:$S$1004,P588)))</f>
        <v/>
      </c>
      <c r="R588" t="str">
        <f>IF(N588="","",IF(P588=0,SUMIFS(Calcoli!$D$7:$D$21,Calcoli!$A$7:$A$21,C588),INDEX($T$5:$T$1004,P588)))</f>
        <v/>
      </c>
      <c r="S588" t="str">
        <f>IF(N588="","",IF(B588="Acquisto",Q588+N(D588),MAX(0,Q588-N(D588))))</f>
        <v/>
      </c>
      <c r="T588" t="str">
        <f>IF(N588="","",IF(B588="Acquisto",R588+J588+N(G588),IF(Q588&lt;=0,0,R588*(1-MIN(1,N(D588)/Q588)))))</f>
        <v/>
      </c>
      <c r="U588" t="str">
        <f>IF(B588&lt;&gt;"Vendita","",J588-N(G588)-IF(Q588&lt;=0,0,R588*MIN(1,N(D588)/Q588)))</f>
        <v/>
      </c>
      <c r="V588" t="str">
        <f>IF(B588&lt;&gt;"Dividendo","",IF(Calcoli!$B$251=1,J588,L588))</f>
        <v/>
      </c>
      <c r="W588" t="str">
        <f>IF(AND(V588&lt;&gt;"",ISNUMBER(A588)),A588,"")</f>
        <v/>
      </c>
    </row>
    <row r="589">
      <c r="A589" s="134" t="n"/>
      <c r="B589" s="116" t="n"/>
      <c r="C589" s="116" t="n"/>
      <c r="D589" s="121" t="n"/>
      <c r="E589" s="120" t="n"/>
      <c r="F589" s="120" t="n"/>
      <c r="G589" s="120" t="n"/>
      <c r="H589" s="120" t="n"/>
      <c r="I589" s="117" t="n"/>
      <c r="J589" s="123" t="str">
        <f>IF(B589="","",IF(F589&lt;&gt;"",N(F589),ROUND(N(D589)*N(E589),2)))</f>
        <v/>
      </c>
      <c r="K589" s="123" t="str">
        <f>IF(B589="","",IF(H589&lt;&gt;"",N(H589),IF(B589="Dividendo",ROUND(J589*IFERROR(INDEX(Calcoli!$V$7:$V$21,MATCH(C589,Calcoli!$A$7:$A$21,0)),0.26),2),IF(B589="Vendita",ROUND(MAX(0,U589)*IFERROR(INDEX(Calcoli!$V$7:$V$21,MATCH(C589,Calcoli!$A$7:$A$21,0)),0.26),2),0))))</f>
        <v/>
      </c>
      <c r="L589" s="135" t="str">
        <f>IF(B589="","",IF(B589="Acquisto",-(J589+N(G589)),J589-N(G589)-K589))</f>
        <v/>
      </c>
      <c r="M589" s="127" t="str">
        <f>IF(B589="","",IF(ISNA(MATCH(C589,ETF!$A$7:$A$21,0)),"ETF?",IF(NOT(ISNUMBER(A589)),"Data?",IF(AND(B589&lt;&gt;"Dividendo",N(D589)&lt;=0),"Quote?",IF(AND(B589="Vendita",N(D589)&gt;N(Q589)+0.000001),"Quote?",IF(J589&lt;=0,"Importo?","✓"))))))</f>
        <v/>
      </c>
      <c r="N589" t="str">
        <f>IF(OR(B589="Acquisto",B589="Vendita"),COUNTIFS($C$5:C589,C589,$B$5:B589,"Acquisto")+COUNTIFS($C$5:C589,C589,$B$5:B589,"Vendita"),"")</f>
        <v/>
      </c>
      <c r="O589" t="str">
        <f>IF(N589="","",C589&amp;"|"&amp;N589)</f>
        <v/>
      </c>
      <c r="P589" t="str">
        <f>IF(N589="","",IF(N589=1,0,MATCH(C589&amp;"|"&amp;(N589-1),$O$5:$O$1004,0)))</f>
        <v/>
      </c>
      <c r="Q589" t="str">
        <f>IF(N589="","",IF(P589=0,SUMIFS(Calcoli!$C$7:$C$21,Calcoli!$A$7:$A$21,C589),INDEX($S$5:$S$1004,P589)))</f>
        <v/>
      </c>
      <c r="R589" t="str">
        <f>IF(N589="","",IF(P589=0,SUMIFS(Calcoli!$D$7:$D$21,Calcoli!$A$7:$A$21,C589),INDEX($T$5:$T$1004,P589)))</f>
        <v/>
      </c>
      <c r="S589" t="str">
        <f>IF(N589="","",IF(B589="Acquisto",Q589+N(D589),MAX(0,Q589-N(D589))))</f>
        <v/>
      </c>
      <c r="T589" t="str">
        <f>IF(N589="","",IF(B589="Acquisto",R589+J589+N(G589),IF(Q589&lt;=0,0,R589*(1-MIN(1,N(D589)/Q589)))))</f>
        <v/>
      </c>
      <c r="U589" t="str">
        <f>IF(B589&lt;&gt;"Vendita","",J589-N(G589)-IF(Q589&lt;=0,0,R589*MIN(1,N(D589)/Q589)))</f>
        <v/>
      </c>
      <c r="V589" t="str">
        <f>IF(B589&lt;&gt;"Dividendo","",IF(Calcoli!$B$251=1,J589,L589))</f>
        <v/>
      </c>
      <c r="W589" t="str">
        <f>IF(AND(V589&lt;&gt;"",ISNUMBER(A589)),A589,"")</f>
        <v/>
      </c>
    </row>
    <row r="590">
      <c r="A590" s="134" t="n"/>
      <c r="B590" s="116" t="n"/>
      <c r="C590" s="116" t="n"/>
      <c r="D590" s="121" t="n"/>
      <c r="E590" s="120" t="n"/>
      <c r="F590" s="120" t="n"/>
      <c r="G590" s="120" t="n"/>
      <c r="H590" s="120" t="n"/>
      <c r="I590" s="117" t="n"/>
      <c r="J590" s="123" t="str">
        <f>IF(B590="","",IF(F590&lt;&gt;"",N(F590),ROUND(N(D590)*N(E590),2)))</f>
        <v/>
      </c>
      <c r="K590" s="123" t="str">
        <f>IF(B590="","",IF(H590&lt;&gt;"",N(H590),IF(B590="Dividendo",ROUND(J590*IFERROR(INDEX(Calcoli!$V$7:$V$21,MATCH(C590,Calcoli!$A$7:$A$21,0)),0.26),2),IF(B590="Vendita",ROUND(MAX(0,U590)*IFERROR(INDEX(Calcoli!$V$7:$V$21,MATCH(C590,Calcoli!$A$7:$A$21,0)),0.26),2),0))))</f>
        <v/>
      </c>
      <c r="L590" s="135" t="str">
        <f>IF(B590="","",IF(B590="Acquisto",-(J590+N(G590)),J590-N(G590)-K590))</f>
        <v/>
      </c>
      <c r="M590" s="127" t="str">
        <f>IF(B590="","",IF(ISNA(MATCH(C590,ETF!$A$7:$A$21,0)),"ETF?",IF(NOT(ISNUMBER(A590)),"Data?",IF(AND(B590&lt;&gt;"Dividendo",N(D590)&lt;=0),"Quote?",IF(AND(B590="Vendita",N(D590)&gt;N(Q590)+0.000001),"Quote?",IF(J590&lt;=0,"Importo?","✓"))))))</f>
        <v/>
      </c>
      <c r="N590" t="str">
        <f>IF(OR(B590="Acquisto",B590="Vendita"),COUNTIFS($C$5:C590,C590,$B$5:B590,"Acquisto")+COUNTIFS($C$5:C590,C590,$B$5:B590,"Vendita"),"")</f>
        <v/>
      </c>
      <c r="O590" t="str">
        <f>IF(N590="","",C590&amp;"|"&amp;N590)</f>
        <v/>
      </c>
      <c r="P590" t="str">
        <f>IF(N590="","",IF(N590=1,0,MATCH(C590&amp;"|"&amp;(N590-1),$O$5:$O$1004,0)))</f>
        <v/>
      </c>
      <c r="Q590" t="str">
        <f>IF(N590="","",IF(P590=0,SUMIFS(Calcoli!$C$7:$C$21,Calcoli!$A$7:$A$21,C590),INDEX($S$5:$S$1004,P590)))</f>
        <v/>
      </c>
      <c r="R590" t="str">
        <f>IF(N590="","",IF(P590=0,SUMIFS(Calcoli!$D$7:$D$21,Calcoli!$A$7:$A$21,C590),INDEX($T$5:$T$1004,P590)))</f>
        <v/>
      </c>
      <c r="S590" t="str">
        <f>IF(N590="","",IF(B590="Acquisto",Q590+N(D590),MAX(0,Q590-N(D590))))</f>
        <v/>
      </c>
      <c r="T590" t="str">
        <f>IF(N590="","",IF(B590="Acquisto",R590+J590+N(G590),IF(Q590&lt;=0,0,R590*(1-MIN(1,N(D590)/Q590)))))</f>
        <v/>
      </c>
      <c r="U590" t="str">
        <f>IF(B590&lt;&gt;"Vendita","",J590-N(G590)-IF(Q590&lt;=0,0,R590*MIN(1,N(D590)/Q590)))</f>
        <v/>
      </c>
      <c r="V590" t="str">
        <f>IF(B590&lt;&gt;"Dividendo","",IF(Calcoli!$B$251=1,J590,L590))</f>
        <v/>
      </c>
      <c r="W590" t="str">
        <f>IF(AND(V590&lt;&gt;"",ISNUMBER(A590)),A590,"")</f>
        <v/>
      </c>
    </row>
    <row r="591">
      <c r="A591" s="134" t="n"/>
      <c r="B591" s="116" t="n"/>
      <c r="C591" s="116" t="n"/>
      <c r="D591" s="121" t="n"/>
      <c r="E591" s="120" t="n"/>
      <c r="F591" s="120" t="n"/>
      <c r="G591" s="120" t="n"/>
      <c r="H591" s="120" t="n"/>
      <c r="I591" s="117" t="n"/>
      <c r="J591" s="123" t="str">
        <f>IF(B591="","",IF(F591&lt;&gt;"",N(F591),ROUND(N(D591)*N(E591),2)))</f>
        <v/>
      </c>
      <c r="K591" s="123" t="str">
        <f>IF(B591="","",IF(H591&lt;&gt;"",N(H591),IF(B591="Dividendo",ROUND(J591*IFERROR(INDEX(Calcoli!$V$7:$V$21,MATCH(C591,Calcoli!$A$7:$A$21,0)),0.26),2),IF(B591="Vendita",ROUND(MAX(0,U591)*IFERROR(INDEX(Calcoli!$V$7:$V$21,MATCH(C591,Calcoli!$A$7:$A$21,0)),0.26),2),0))))</f>
        <v/>
      </c>
      <c r="L591" s="135" t="str">
        <f>IF(B591="","",IF(B591="Acquisto",-(J591+N(G591)),J591-N(G591)-K591))</f>
        <v/>
      </c>
      <c r="M591" s="127" t="str">
        <f>IF(B591="","",IF(ISNA(MATCH(C591,ETF!$A$7:$A$21,0)),"ETF?",IF(NOT(ISNUMBER(A591)),"Data?",IF(AND(B591&lt;&gt;"Dividendo",N(D591)&lt;=0),"Quote?",IF(AND(B591="Vendita",N(D591)&gt;N(Q591)+0.000001),"Quote?",IF(J591&lt;=0,"Importo?","✓"))))))</f>
        <v/>
      </c>
      <c r="N591" t="str">
        <f>IF(OR(B591="Acquisto",B591="Vendita"),COUNTIFS($C$5:C591,C591,$B$5:B591,"Acquisto")+COUNTIFS($C$5:C591,C591,$B$5:B591,"Vendita"),"")</f>
        <v/>
      </c>
      <c r="O591" t="str">
        <f>IF(N591="","",C591&amp;"|"&amp;N591)</f>
        <v/>
      </c>
      <c r="P591" t="str">
        <f>IF(N591="","",IF(N591=1,0,MATCH(C591&amp;"|"&amp;(N591-1),$O$5:$O$1004,0)))</f>
        <v/>
      </c>
      <c r="Q591" t="str">
        <f>IF(N591="","",IF(P591=0,SUMIFS(Calcoli!$C$7:$C$21,Calcoli!$A$7:$A$21,C591),INDEX($S$5:$S$1004,P591)))</f>
        <v/>
      </c>
      <c r="R591" t="str">
        <f>IF(N591="","",IF(P591=0,SUMIFS(Calcoli!$D$7:$D$21,Calcoli!$A$7:$A$21,C591),INDEX($T$5:$T$1004,P591)))</f>
        <v/>
      </c>
      <c r="S591" t="str">
        <f>IF(N591="","",IF(B591="Acquisto",Q591+N(D591),MAX(0,Q591-N(D591))))</f>
        <v/>
      </c>
      <c r="T591" t="str">
        <f>IF(N591="","",IF(B591="Acquisto",R591+J591+N(G591),IF(Q591&lt;=0,0,R591*(1-MIN(1,N(D591)/Q591)))))</f>
        <v/>
      </c>
      <c r="U591" t="str">
        <f>IF(B591&lt;&gt;"Vendita","",J591-N(G591)-IF(Q591&lt;=0,0,R591*MIN(1,N(D591)/Q591)))</f>
        <v/>
      </c>
      <c r="V591" t="str">
        <f>IF(B591&lt;&gt;"Dividendo","",IF(Calcoli!$B$251=1,J591,L591))</f>
        <v/>
      </c>
      <c r="W591" t="str">
        <f>IF(AND(V591&lt;&gt;"",ISNUMBER(A591)),A591,"")</f>
        <v/>
      </c>
    </row>
    <row r="592">
      <c r="A592" s="134" t="n"/>
      <c r="B592" s="116" t="n"/>
      <c r="C592" s="116" t="n"/>
      <c r="D592" s="121" t="n"/>
      <c r="E592" s="120" t="n"/>
      <c r="F592" s="120" t="n"/>
      <c r="G592" s="120" t="n"/>
      <c r="H592" s="120" t="n"/>
      <c r="I592" s="117" t="n"/>
      <c r="J592" s="123" t="str">
        <f>IF(B592="","",IF(F592&lt;&gt;"",N(F592),ROUND(N(D592)*N(E592),2)))</f>
        <v/>
      </c>
      <c r="K592" s="123" t="str">
        <f>IF(B592="","",IF(H592&lt;&gt;"",N(H592),IF(B592="Dividendo",ROUND(J592*IFERROR(INDEX(Calcoli!$V$7:$V$21,MATCH(C592,Calcoli!$A$7:$A$21,0)),0.26),2),IF(B592="Vendita",ROUND(MAX(0,U592)*IFERROR(INDEX(Calcoli!$V$7:$V$21,MATCH(C592,Calcoli!$A$7:$A$21,0)),0.26),2),0))))</f>
        <v/>
      </c>
      <c r="L592" s="135" t="str">
        <f>IF(B592="","",IF(B592="Acquisto",-(J592+N(G592)),J592-N(G592)-K592))</f>
        <v/>
      </c>
      <c r="M592" s="127" t="str">
        <f>IF(B592="","",IF(ISNA(MATCH(C592,ETF!$A$7:$A$21,0)),"ETF?",IF(NOT(ISNUMBER(A592)),"Data?",IF(AND(B592&lt;&gt;"Dividendo",N(D592)&lt;=0),"Quote?",IF(AND(B592="Vendita",N(D592)&gt;N(Q592)+0.000001),"Quote?",IF(J592&lt;=0,"Importo?","✓"))))))</f>
        <v/>
      </c>
      <c r="N592" t="str">
        <f>IF(OR(B592="Acquisto",B592="Vendita"),COUNTIFS($C$5:C592,C592,$B$5:B592,"Acquisto")+COUNTIFS($C$5:C592,C592,$B$5:B592,"Vendita"),"")</f>
        <v/>
      </c>
      <c r="O592" t="str">
        <f>IF(N592="","",C592&amp;"|"&amp;N592)</f>
        <v/>
      </c>
      <c r="P592" t="str">
        <f>IF(N592="","",IF(N592=1,0,MATCH(C592&amp;"|"&amp;(N592-1),$O$5:$O$1004,0)))</f>
        <v/>
      </c>
      <c r="Q592" t="str">
        <f>IF(N592="","",IF(P592=0,SUMIFS(Calcoli!$C$7:$C$21,Calcoli!$A$7:$A$21,C592),INDEX($S$5:$S$1004,P592)))</f>
        <v/>
      </c>
      <c r="R592" t="str">
        <f>IF(N592="","",IF(P592=0,SUMIFS(Calcoli!$D$7:$D$21,Calcoli!$A$7:$A$21,C592),INDEX($T$5:$T$1004,P592)))</f>
        <v/>
      </c>
      <c r="S592" t="str">
        <f>IF(N592="","",IF(B592="Acquisto",Q592+N(D592),MAX(0,Q592-N(D592))))</f>
        <v/>
      </c>
      <c r="T592" t="str">
        <f>IF(N592="","",IF(B592="Acquisto",R592+J592+N(G592),IF(Q592&lt;=0,0,R592*(1-MIN(1,N(D592)/Q592)))))</f>
        <v/>
      </c>
      <c r="U592" t="str">
        <f>IF(B592&lt;&gt;"Vendita","",J592-N(G592)-IF(Q592&lt;=0,0,R592*MIN(1,N(D592)/Q592)))</f>
        <v/>
      </c>
      <c r="V592" t="str">
        <f>IF(B592&lt;&gt;"Dividendo","",IF(Calcoli!$B$251=1,J592,L592))</f>
        <v/>
      </c>
      <c r="W592" t="str">
        <f>IF(AND(V592&lt;&gt;"",ISNUMBER(A592)),A592,"")</f>
        <v/>
      </c>
    </row>
    <row r="593">
      <c r="A593" s="134" t="n"/>
      <c r="B593" s="116" t="n"/>
      <c r="C593" s="116" t="n"/>
      <c r="D593" s="121" t="n"/>
      <c r="E593" s="120" t="n"/>
      <c r="F593" s="120" t="n"/>
      <c r="G593" s="120" t="n"/>
      <c r="H593" s="120" t="n"/>
      <c r="I593" s="117" t="n"/>
      <c r="J593" s="123" t="str">
        <f>IF(B593="","",IF(F593&lt;&gt;"",N(F593),ROUND(N(D593)*N(E593),2)))</f>
        <v/>
      </c>
      <c r="K593" s="123" t="str">
        <f>IF(B593="","",IF(H593&lt;&gt;"",N(H593),IF(B593="Dividendo",ROUND(J593*IFERROR(INDEX(Calcoli!$V$7:$V$21,MATCH(C593,Calcoli!$A$7:$A$21,0)),0.26),2),IF(B593="Vendita",ROUND(MAX(0,U593)*IFERROR(INDEX(Calcoli!$V$7:$V$21,MATCH(C593,Calcoli!$A$7:$A$21,0)),0.26),2),0))))</f>
        <v/>
      </c>
      <c r="L593" s="135" t="str">
        <f>IF(B593="","",IF(B593="Acquisto",-(J593+N(G593)),J593-N(G593)-K593))</f>
        <v/>
      </c>
      <c r="M593" s="127" t="str">
        <f>IF(B593="","",IF(ISNA(MATCH(C593,ETF!$A$7:$A$21,0)),"ETF?",IF(NOT(ISNUMBER(A593)),"Data?",IF(AND(B593&lt;&gt;"Dividendo",N(D593)&lt;=0),"Quote?",IF(AND(B593="Vendita",N(D593)&gt;N(Q593)+0.000001),"Quote?",IF(J593&lt;=0,"Importo?","✓"))))))</f>
        <v/>
      </c>
      <c r="N593" t="str">
        <f>IF(OR(B593="Acquisto",B593="Vendita"),COUNTIFS($C$5:C593,C593,$B$5:B593,"Acquisto")+COUNTIFS($C$5:C593,C593,$B$5:B593,"Vendita"),"")</f>
        <v/>
      </c>
      <c r="O593" t="str">
        <f>IF(N593="","",C593&amp;"|"&amp;N593)</f>
        <v/>
      </c>
      <c r="P593" t="str">
        <f>IF(N593="","",IF(N593=1,0,MATCH(C593&amp;"|"&amp;(N593-1),$O$5:$O$1004,0)))</f>
        <v/>
      </c>
      <c r="Q593" t="str">
        <f>IF(N593="","",IF(P593=0,SUMIFS(Calcoli!$C$7:$C$21,Calcoli!$A$7:$A$21,C593),INDEX($S$5:$S$1004,P593)))</f>
        <v/>
      </c>
      <c r="R593" t="str">
        <f>IF(N593="","",IF(P593=0,SUMIFS(Calcoli!$D$7:$D$21,Calcoli!$A$7:$A$21,C593),INDEX($T$5:$T$1004,P593)))</f>
        <v/>
      </c>
      <c r="S593" t="str">
        <f>IF(N593="","",IF(B593="Acquisto",Q593+N(D593),MAX(0,Q593-N(D593))))</f>
        <v/>
      </c>
      <c r="T593" t="str">
        <f>IF(N593="","",IF(B593="Acquisto",R593+J593+N(G593),IF(Q593&lt;=0,0,R593*(1-MIN(1,N(D593)/Q593)))))</f>
        <v/>
      </c>
      <c r="U593" t="str">
        <f>IF(B593&lt;&gt;"Vendita","",J593-N(G593)-IF(Q593&lt;=0,0,R593*MIN(1,N(D593)/Q593)))</f>
        <v/>
      </c>
      <c r="V593" t="str">
        <f>IF(B593&lt;&gt;"Dividendo","",IF(Calcoli!$B$251=1,J593,L593))</f>
        <v/>
      </c>
      <c r="W593" t="str">
        <f>IF(AND(V593&lt;&gt;"",ISNUMBER(A593)),A593,"")</f>
        <v/>
      </c>
    </row>
    <row r="594">
      <c r="A594" s="134" t="n"/>
      <c r="B594" s="116" t="n"/>
      <c r="C594" s="116" t="n"/>
      <c r="D594" s="121" t="n"/>
      <c r="E594" s="120" t="n"/>
      <c r="F594" s="120" t="n"/>
      <c r="G594" s="120" t="n"/>
      <c r="H594" s="120" t="n"/>
      <c r="I594" s="117" t="n"/>
      <c r="J594" s="123" t="str">
        <f>IF(B594="","",IF(F594&lt;&gt;"",N(F594),ROUND(N(D594)*N(E594),2)))</f>
        <v/>
      </c>
      <c r="K594" s="123" t="str">
        <f>IF(B594="","",IF(H594&lt;&gt;"",N(H594),IF(B594="Dividendo",ROUND(J594*IFERROR(INDEX(Calcoli!$V$7:$V$21,MATCH(C594,Calcoli!$A$7:$A$21,0)),0.26),2),IF(B594="Vendita",ROUND(MAX(0,U594)*IFERROR(INDEX(Calcoli!$V$7:$V$21,MATCH(C594,Calcoli!$A$7:$A$21,0)),0.26),2),0))))</f>
        <v/>
      </c>
      <c r="L594" s="135" t="str">
        <f>IF(B594="","",IF(B594="Acquisto",-(J594+N(G594)),J594-N(G594)-K594))</f>
        <v/>
      </c>
      <c r="M594" s="127" t="str">
        <f>IF(B594="","",IF(ISNA(MATCH(C594,ETF!$A$7:$A$21,0)),"ETF?",IF(NOT(ISNUMBER(A594)),"Data?",IF(AND(B594&lt;&gt;"Dividendo",N(D594)&lt;=0),"Quote?",IF(AND(B594="Vendita",N(D594)&gt;N(Q594)+0.000001),"Quote?",IF(J594&lt;=0,"Importo?","✓"))))))</f>
        <v/>
      </c>
      <c r="N594" t="str">
        <f>IF(OR(B594="Acquisto",B594="Vendita"),COUNTIFS($C$5:C594,C594,$B$5:B594,"Acquisto")+COUNTIFS($C$5:C594,C594,$B$5:B594,"Vendita"),"")</f>
        <v/>
      </c>
      <c r="O594" t="str">
        <f>IF(N594="","",C594&amp;"|"&amp;N594)</f>
        <v/>
      </c>
      <c r="P594" t="str">
        <f>IF(N594="","",IF(N594=1,0,MATCH(C594&amp;"|"&amp;(N594-1),$O$5:$O$1004,0)))</f>
        <v/>
      </c>
      <c r="Q594" t="str">
        <f>IF(N594="","",IF(P594=0,SUMIFS(Calcoli!$C$7:$C$21,Calcoli!$A$7:$A$21,C594),INDEX($S$5:$S$1004,P594)))</f>
        <v/>
      </c>
      <c r="R594" t="str">
        <f>IF(N594="","",IF(P594=0,SUMIFS(Calcoli!$D$7:$D$21,Calcoli!$A$7:$A$21,C594),INDEX($T$5:$T$1004,P594)))</f>
        <v/>
      </c>
      <c r="S594" t="str">
        <f>IF(N594="","",IF(B594="Acquisto",Q594+N(D594),MAX(0,Q594-N(D594))))</f>
        <v/>
      </c>
      <c r="T594" t="str">
        <f>IF(N594="","",IF(B594="Acquisto",R594+J594+N(G594),IF(Q594&lt;=0,0,R594*(1-MIN(1,N(D594)/Q594)))))</f>
        <v/>
      </c>
      <c r="U594" t="str">
        <f>IF(B594&lt;&gt;"Vendita","",J594-N(G594)-IF(Q594&lt;=0,0,R594*MIN(1,N(D594)/Q594)))</f>
        <v/>
      </c>
      <c r="V594" t="str">
        <f>IF(B594&lt;&gt;"Dividendo","",IF(Calcoli!$B$251=1,J594,L594))</f>
        <v/>
      </c>
      <c r="W594" t="str">
        <f>IF(AND(V594&lt;&gt;"",ISNUMBER(A594)),A594,"")</f>
        <v/>
      </c>
    </row>
    <row r="595">
      <c r="A595" s="134" t="n"/>
      <c r="B595" s="116" t="n"/>
      <c r="C595" s="116" t="n"/>
      <c r="D595" s="121" t="n"/>
      <c r="E595" s="120" t="n"/>
      <c r="F595" s="120" t="n"/>
      <c r="G595" s="120" t="n"/>
      <c r="H595" s="120" t="n"/>
      <c r="I595" s="117" t="n"/>
      <c r="J595" s="123" t="str">
        <f>IF(B595="","",IF(F595&lt;&gt;"",N(F595),ROUND(N(D595)*N(E595),2)))</f>
        <v/>
      </c>
      <c r="K595" s="123" t="str">
        <f>IF(B595="","",IF(H595&lt;&gt;"",N(H595),IF(B595="Dividendo",ROUND(J595*IFERROR(INDEX(Calcoli!$V$7:$V$21,MATCH(C595,Calcoli!$A$7:$A$21,0)),0.26),2),IF(B595="Vendita",ROUND(MAX(0,U595)*IFERROR(INDEX(Calcoli!$V$7:$V$21,MATCH(C595,Calcoli!$A$7:$A$21,0)),0.26),2),0))))</f>
        <v/>
      </c>
      <c r="L595" s="135" t="str">
        <f>IF(B595="","",IF(B595="Acquisto",-(J595+N(G595)),J595-N(G595)-K595))</f>
        <v/>
      </c>
      <c r="M595" s="127" t="str">
        <f>IF(B595="","",IF(ISNA(MATCH(C595,ETF!$A$7:$A$21,0)),"ETF?",IF(NOT(ISNUMBER(A595)),"Data?",IF(AND(B595&lt;&gt;"Dividendo",N(D595)&lt;=0),"Quote?",IF(AND(B595="Vendita",N(D595)&gt;N(Q595)+0.000001),"Quote?",IF(J595&lt;=0,"Importo?","✓"))))))</f>
        <v/>
      </c>
      <c r="N595" t="str">
        <f>IF(OR(B595="Acquisto",B595="Vendita"),COUNTIFS($C$5:C595,C595,$B$5:B595,"Acquisto")+COUNTIFS($C$5:C595,C595,$B$5:B595,"Vendita"),"")</f>
        <v/>
      </c>
      <c r="O595" t="str">
        <f>IF(N595="","",C595&amp;"|"&amp;N595)</f>
        <v/>
      </c>
      <c r="P595" t="str">
        <f>IF(N595="","",IF(N595=1,0,MATCH(C595&amp;"|"&amp;(N595-1),$O$5:$O$1004,0)))</f>
        <v/>
      </c>
      <c r="Q595" t="str">
        <f>IF(N595="","",IF(P595=0,SUMIFS(Calcoli!$C$7:$C$21,Calcoli!$A$7:$A$21,C595),INDEX($S$5:$S$1004,P595)))</f>
        <v/>
      </c>
      <c r="R595" t="str">
        <f>IF(N595="","",IF(P595=0,SUMIFS(Calcoli!$D$7:$D$21,Calcoli!$A$7:$A$21,C595),INDEX($T$5:$T$1004,P595)))</f>
        <v/>
      </c>
      <c r="S595" t="str">
        <f>IF(N595="","",IF(B595="Acquisto",Q595+N(D595),MAX(0,Q595-N(D595))))</f>
        <v/>
      </c>
      <c r="T595" t="str">
        <f>IF(N595="","",IF(B595="Acquisto",R595+J595+N(G595),IF(Q595&lt;=0,0,R595*(1-MIN(1,N(D595)/Q595)))))</f>
        <v/>
      </c>
      <c r="U595" t="str">
        <f>IF(B595&lt;&gt;"Vendita","",J595-N(G595)-IF(Q595&lt;=0,0,R595*MIN(1,N(D595)/Q595)))</f>
        <v/>
      </c>
      <c r="V595" t="str">
        <f>IF(B595&lt;&gt;"Dividendo","",IF(Calcoli!$B$251=1,J595,L595))</f>
        <v/>
      </c>
      <c r="W595" t="str">
        <f>IF(AND(V595&lt;&gt;"",ISNUMBER(A595)),A595,"")</f>
        <v/>
      </c>
    </row>
    <row r="596">
      <c r="A596" s="134" t="n"/>
      <c r="B596" s="116" t="n"/>
      <c r="C596" s="116" t="n"/>
      <c r="D596" s="121" t="n"/>
      <c r="E596" s="120" t="n"/>
      <c r="F596" s="120" t="n"/>
      <c r="G596" s="120" t="n"/>
      <c r="H596" s="120" t="n"/>
      <c r="I596" s="117" t="n"/>
      <c r="J596" s="123" t="str">
        <f>IF(B596="","",IF(F596&lt;&gt;"",N(F596),ROUND(N(D596)*N(E596),2)))</f>
        <v/>
      </c>
      <c r="K596" s="123" t="str">
        <f>IF(B596="","",IF(H596&lt;&gt;"",N(H596),IF(B596="Dividendo",ROUND(J596*IFERROR(INDEX(Calcoli!$V$7:$V$21,MATCH(C596,Calcoli!$A$7:$A$21,0)),0.26),2),IF(B596="Vendita",ROUND(MAX(0,U596)*IFERROR(INDEX(Calcoli!$V$7:$V$21,MATCH(C596,Calcoli!$A$7:$A$21,0)),0.26),2),0))))</f>
        <v/>
      </c>
      <c r="L596" s="135" t="str">
        <f>IF(B596="","",IF(B596="Acquisto",-(J596+N(G596)),J596-N(G596)-K596))</f>
        <v/>
      </c>
      <c r="M596" s="127" t="str">
        <f>IF(B596="","",IF(ISNA(MATCH(C596,ETF!$A$7:$A$21,0)),"ETF?",IF(NOT(ISNUMBER(A596)),"Data?",IF(AND(B596&lt;&gt;"Dividendo",N(D596)&lt;=0),"Quote?",IF(AND(B596="Vendita",N(D596)&gt;N(Q596)+0.000001),"Quote?",IF(J596&lt;=0,"Importo?","✓"))))))</f>
        <v/>
      </c>
      <c r="N596" t="str">
        <f>IF(OR(B596="Acquisto",B596="Vendita"),COUNTIFS($C$5:C596,C596,$B$5:B596,"Acquisto")+COUNTIFS($C$5:C596,C596,$B$5:B596,"Vendita"),"")</f>
        <v/>
      </c>
      <c r="O596" t="str">
        <f>IF(N596="","",C596&amp;"|"&amp;N596)</f>
        <v/>
      </c>
      <c r="P596" t="str">
        <f>IF(N596="","",IF(N596=1,0,MATCH(C596&amp;"|"&amp;(N596-1),$O$5:$O$1004,0)))</f>
        <v/>
      </c>
      <c r="Q596" t="str">
        <f>IF(N596="","",IF(P596=0,SUMIFS(Calcoli!$C$7:$C$21,Calcoli!$A$7:$A$21,C596),INDEX($S$5:$S$1004,P596)))</f>
        <v/>
      </c>
      <c r="R596" t="str">
        <f>IF(N596="","",IF(P596=0,SUMIFS(Calcoli!$D$7:$D$21,Calcoli!$A$7:$A$21,C596),INDEX($T$5:$T$1004,P596)))</f>
        <v/>
      </c>
      <c r="S596" t="str">
        <f>IF(N596="","",IF(B596="Acquisto",Q596+N(D596),MAX(0,Q596-N(D596))))</f>
        <v/>
      </c>
      <c r="T596" t="str">
        <f>IF(N596="","",IF(B596="Acquisto",R596+J596+N(G596),IF(Q596&lt;=0,0,R596*(1-MIN(1,N(D596)/Q596)))))</f>
        <v/>
      </c>
      <c r="U596" t="str">
        <f>IF(B596&lt;&gt;"Vendita","",J596-N(G596)-IF(Q596&lt;=0,0,R596*MIN(1,N(D596)/Q596)))</f>
        <v/>
      </c>
      <c r="V596" t="str">
        <f>IF(B596&lt;&gt;"Dividendo","",IF(Calcoli!$B$251=1,J596,L596))</f>
        <v/>
      </c>
      <c r="W596" t="str">
        <f>IF(AND(V596&lt;&gt;"",ISNUMBER(A596)),A596,"")</f>
        <v/>
      </c>
    </row>
    <row r="597">
      <c r="A597" s="134" t="n"/>
      <c r="B597" s="116" t="n"/>
      <c r="C597" s="116" t="n"/>
      <c r="D597" s="121" t="n"/>
      <c r="E597" s="120" t="n"/>
      <c r="F597" s="120" t="n"/>
      <c r="G597" s="120" t="n"/>
      <c r="H597" s="120" t="n"/>
      <c r="I597" s="117" t="n"/>
      <c r="J597" s="123" t="str">
        <f>IF(B597="","",IF(F597&lt;&gt;"",N(F597),ROUND(N(D597)*N(E597),2)))</f>
        <v/>
      </c>
      <c r="K597" s="123" t="str">
        <f>IF(B597="","",IF(H597&lt;&gt;"",N(H597),IF(B597="Dividendo",ROUND(J597*IFERROR(INDEX(Calcoli!$V$7:$V$21,MATCH(C597,Calcoli!$A$7:$A$21,0)),0.26),2),IF(B597="Vendita",ROUND(MAX(0,U597)*IFERROR(INDEX(Calcoli!$V$7:$V$21,MATCH(C597,Calcoli!$A$7:$A$21,0)),0.26),2),0))))</f>
        <v/>
      </c>
      <c r="L597" s="135" t="str">
        <f>IF(B597="","",IF(B597="Acquisto",-(J597+N(G597)),J597-N(G597)-K597))</f>
        <v/>
      </c>
      <c r="M597" s="127" t="str">
        <f>IF(B597="","",IF(ISNA(MATCH(C597,ETF!$A$7:$A$21,0)),"ETF?",IF(NOT(ISNUMBER(A597)),"Data?",IF(AND(B597&lt;&gt;"Dividendo",N(D597)&lt;=0),"Quote?",IF(AND(B597="Vendita",N(D597)&gt;N(Q597)+0.000001),"Quote?",IF(J597&lt;=0,"Importo?","✓"))))))</f>
        <v/>
      </c>
      <c r="N597" t="str">
        <f>IF(OR(B597="Acquisto",B597="Vendita"),COUNTIFS($C$5:C597,C597,$B$5:B597,"Acquisto")+COUNTIFS($C$5:C597,C597,$B$5:B597,"Vendita"),"")</f>
        <v/>
      </c>
      <c r="O597" t="str">
        <f>IF(N597="","",C597&amp;"|"&amp;N597)</f>
        <v/>
      </c>
      <c r="P597" t="str">
        <f>IF(N597="","",IF(N597=1,0,MATCH(C597&amp;"|"&amp;(N597-1),$O$5:$O$1004,0)))</f>
        <v/>
      </c>
      <c r="Q597" t="str">
        <f>IF(N597="","",IF(P597=0,SUMIFS(Calcoli!$C$7:$C$21,Calcoli!$A$7:$A$21,C597),INDEX($S$5:$S$1004,P597)))</f>
        <v/>
      </c>
      <c r="R597" t="str">
        <f>IF(N597="","",IF(P597=0,SUMIFS(Calcoli!$D$7:$D$21,Calcoli!$A$7:$A$21,C597),INDEX($T$5:$T$1004,P597)))</f>
        <v/>
      </c>
      <c r="S597" t="str">
        <f>IF(N597="","",IF(B597="Acquisto",Q597+N(D597),MAX(0,Q597-N(D597))))</f>
        <v/>
      </c>
      <c r="T597" t="str">
        <f>IF(N597="","",IF(B597="Acquisto",R597+J597+N(G597),IF(Q597&lt;=0,0,R597*(1-MIN(1,N(D597)/Q597)))))</f>
        <v/>
      </c>
      <c r="U597" t="str">
        <f>IF(B597&lt;&gt;"Vendita","",J597-N(G597)-IF(Q597&lt;=0,0,R597*MIN(1,N(D597)/Q597)))</f>
        <v/>
      </c>
      <c r="V597" t="str">
        <f>IF(B597&lt;&gt;"Dividendo","",IF(Calcoli!$B$251=1,J597,L597))</f>
        <v/>
      </c>
      <c r="W597" t="str">
        <f>IF(AND(V597&lt;&gt;"",ISNUMBER(A597)),A597,"")</f>
        <v/>
      </c>
    </row>
    <row r="598">
      <c r="A598" s="134" t="n"/>
      <c r="B598" s="116" t="n"/>
      <c r="C598" s="116" t="n"/>
      <c r="D598" s="121" t="n"/>
      <c r="E598" s="120" t="n"/>
      <c r="F598" s="120" t="n"/>
      <c r="G598" s="120" t="n"/>
      <c r="H598" s="120" t="n"/>
      <c r="I598" s="117" t="n"/>
      <c r="J598" s="123" t="str">
        <f>IF(B598="","",IF(F598&lt;&gt;"",N(F598),ROUND(N(D598)*N(E598),2)))</f>
        <v/>
      </c>
      <c r="K598" s="123" t="str">
        <f>IF(B598="","",IF(H598&lt;&gt;"",N(H598),IF(B598="Dividendo",ROUND(J598*IFERROR(INDEX(Calcoli!$V$7:$V$21,MATCH(C598,Calcoli!$A$7:$A$21,0)),0.26),2),IF(B598="Vendita",ROUND(MAX(0,U598)*IFERROR(INDEX(Calcoli!$V$7:$V$21,MATCH(C598,Calcoli!$A$7:$A$21,0)),0.26),2),0))))</f>
        <v/>
      </c>
      <c r="L598" s="135" t="str">
        <f>IF(B598="","",IF(B598="Acquisto",-(J598+N(G598)),J598-N(G598)-K598))</f>
        <v/>
      </c>
      <c r="M598" s="127" t="str">
        <f>IF(B598="","",IF(ISNA(MATCH(C598,ETF!$A$7:$A$21,0)),"ETF?",IF(NOT(ISNUMBER(A598)),"Data?",IF(AND(B598&lt;&gt;"Dividendo",N(D598)&lt;=0),"Quote?",IF(AND(B598="Vendita",N(D598)&gt;N(Q598)+0.000001),"Quote?",IF(J598&lt;=0,"Importo?","✓"))))))</f>
        <v/>
      </c>
      <c r="N598" t="str">
        <f>IF(OR(B598="Acquisto",B598="Vendita"),COUNTIFS($C$5:C598,C598,$B$5:B598,"Acquisto")+COUNTIFS($C$5:C598,C598,$B$5:B598,"Vendita"),"")</f>
        <v/>
      </c>
      <c r="O598" t="str">
        <f>IF(N598="","",C598&amp;"|"&amp;N598)</f>
        <v/>
      </c>
      <c r="P598" t="str">
        <f>IF(N598="","",IF(N598=1,0,MATCH(C598&amp;"|"&amp;(N598-1),$O$5:$O$1004,0)))</f>
        <v/>
      </c>
      <c r="Q598" t="str">
        <f>IF(N598="","",IF(P598=0,SUMIFS(Calcoli!$C$7:$C$21,Calcoli!$A$7:$A$21,C598),INDEX($S$5:$S$1004,P598)))</f>
        <v/>
      </c>
      <c r="R598" t="str">
        <f>IF(N598="","",IF(P598=0,SUMIFS(Calcoli!$D$7:$D$21,Calcoli!$A$7:$A$21,C598),INDEX($T$5:$T$1004,P598)))</f>
        <v/>
      </c>
      <c r="S598" t="str">
        <f>IF(N598="","",IF(B598="Acquisto",Q598+N(D598),MAX(0,Q598-N(D598))))</f>
        <v/>
      </c>
      <c r="T598" t="str">
        <f>IF(N598="","",IF(B598="Acquisto",R598+J598+N(G598),IF(Q598&lt;=0,0,R598*(1-MIN(1,N(D598)/Q598)))))</f>
        <v/>
      </c>
      <c r="U598" t="str">
        <f>IF(B598&lt;&gt;"Vendita","",J598-N(G598)-IF(Q598&lt;=0,0,R598*MIN(1,N(D598)/Q598)))</f>
        <v/>
      </c>
      <c r="V598" t="str">
        <f>IF(B598&lt;&gt;"Dividendo","",IF(Calcoli!$B$251=1,J598,L598))</f>
        <v/>
      </c>
      <c r="W598" t="str">
        <f>IF(AND(V598&lt;&gt;"",ISNUMBER(A598)),A598,"")</f>
        <v/>
      </c>
    </row>
    <row r="599">
      <c r="A599" s="134" t="n"/>
      <c r="B599" s="116" t="n"/>
      <c r="C599" s="116" t="n"/>
      <c r="D599" s="121" t="n"/>
      <c r="E599" s="120" t="n"/>
      <c r="F599" s="120" t="n"/>
      <c r="G599" s="120" t="n"/>
      <c r="H599" s="120" t="n"/>
      <c r="I599" s="117" t="n"/>
      <c r="J599" s="123" t="str">
        <f>IF(B599="","",IF(F599&lt;&gt;"",N(F599),ROUND(N(D599)*N(E599),2)))</f>
        <v/>
      </c>
      <c r="K599" s="123" t="str">
        <f>IF(B599="","",IF(H599&lt;&gt;"",N(H599),IF(B599="Dividendo",ROUND(J599*IFERROR(INDEX(Calcoli!$V$7:$V$21,MATCH(C599,Calcoli!$A$7:$A$21,0)),0.26),2),IF(B599="Vendita",ROUND(MAX(0,U599)*IFERROR(INDEX(Calcoli!$V$7:$V$21,MATCH(C599,Calcoli!$A$7:$A$21,0)),0.26),2),0))))</f>
        <v/>
      </c>
      <c r="L599" s="135" t="str">
        <f>IF(B599="","",IF(B599="Acquisto",-(J599+N(G599)),J599-N(G599)-K599))</f>
        <v/>
      </c>
      <c r="M599" s="127" t="str">
        <f>IF(B599="","",IF(ISNA(MATCH(C599,ETF!$A$7:$A$21,0)),"ETF?",IF(NOT(ISNUMBER(A599)),"Data?",IF(AND(B599&lt;&gt;"Dividendo",N(D599)&lt;=0),"Quote?",IF(AND(B599="Vendita",N(D599)&gt;N(Q599)+0.000001),"Quote?",IF(J599&lt;=0,"Importo?","✓"))))))</f>
        <v/>
      </c>
      <c r="N599" t="str">
        <f>IF(OR(B599="Acquisto",B599="Vendita"),COUNTIFS($C$5:C599,C599,$B$5:B599,"Acquisto")+COUNTIFS($C$5:C599,C599,$B$5:B599,"Vendita"),"")</f>
        <v/>
      </c>
      <c r="O599" t="str">
        <f>IF(N599="","",C599&amp;"|"&amp;N599)</f>
        <v/>
      </c>
      <c r="P599" t="str">
        <f>IF(N599="","",IF(N599=1,0,MATCH(C599&amp;"|"&amp;(N599-1),$O$5:$O$1004,0)))</f>
        <v/>
      </c>
      <c r="Q599" t="str">
        <f>IF(N599="","",IF(P599=0,SUMIFS(Calcoli!$C$7:$C$21,Calcoli!$A$7:$A$21,C599),INDEX($S$5:$S$1004,P599)))</f>
        <v/>
      </c>
      <c r="R599" t="str">
        <f>IF(N599="","",IF(P599=0,SUMIFS(Calcoli!$D$7:$D$21,Calcoli!$A$7:$A$21,C599),INDEX($T$5:$T$1004,P599)))</f>
        <v/>
      </c>
      <c r="S599" t="str">
        <f>IF(N599="","",IF(B599="Acquisto",Q599+N(D599),MAX(0,Q599-N(D599))))</f>
        <v/>
      </c>
      <c r="T599" t="str">
        <f>IF(N599="","",IF(B599="Acquisto",R599+J599+N(G599),IF(Q599&lt;=0,0,R599*(1-MIN(1,N(D599)/Q599)))))</f>
        <v/>
      </c>
      <c r="U599" t="str">
        <f>IF(B599&lt;&gt;"Vendita","",J599-N(G599)-IF(Q599&lt;=0,0,R599*MIN(1,N(D599)/Q599)))</f>
        <v/>
      </c>
      <c r="V599" t="str">
        <f>IF(B599&lt;&gt;"Dividendo","",IF(Calcoli!$B$251=1,J599,L599))</f>
        <v/>
      </c>
      <c r="W599" t="str">
        <f>IF(AND(V599&lt;&gt;"",ISNUMBER(A599)),A599,"")</f>
        <v/>
      </c>
    </row>
    <row r="600">
      <c r="A600" s="134" t="n"/>
      <c r="B600" s="116" t="n"/>
      <c r="C600" s="116" t="n"/>
      <c r="D600" s="121" t="n"/>
      <c r="E600" s="120" t="n"/>
      <c r="F600" s="120" t="n"/>
      <c r="G600" s="120" t="n"/>
      <c r="H600" s="120" t="n"/>
      <c r="I600" s="117" t="n"/>
      <c r="J600" s="123" t="str">
        <f>IF(B600="","",IF(F600&lt;&gt;"",N(F600),ROUND(N(D600)*N(E600),2)))</f>
        <v/>
      </c>
      <c r="K600" s="123" t="str">
        <f>IF(B600="","",IF(H600&lt;&gt;"",N(H600),IF(B600="Dividendo",ROUND(J600*IFERROR(INDEX(Calcoli!$V$7:$V$21,MATCH(C600,Calcoli!$A$7:$A$21,0)),0.26),2),IF(B600="Vendita",ROUND(MAX(0,U600)*IFERROR(INDEX(Calcoli!$V$7:$V$21,MATCH(C600,Calcoli!$A$7:$A$21,0)),0.26),2),0))))</f>
        <v/>
      </c>
      <c r="L600" s="135" t="str">
        <f>IF(B600="","",IF(B600="Acquisto",-(J600+N(G600)),J600-N(G600)-K600))</f>
        <v/>
      </c>
      <c r="M600" s="127" t="str">
        <f>IF(B600="","",IF(ISNA(MATCH(C600,ETF!$A$7:$A$21,0)),"ETF?",IF(NOT(ISNUMBER(A600)),"Data?",IF(AND(B600&lt;&gt;"Dividendo",N(D600)&lt;=0),"Quote?",IF(AND(B600="Vendita",N(D600)&gt;N(Q600)+0.000001),"Quote?",IF(J600&lt;=0,"Importo?","✓"))))))</f>
        <v/>
      </c>
      <c r="N600" t="str">
        <f>IF(OR(B600="Acquisto",B600="Vendita"),COUNTIFS($C$5:C600,C600,$B$5:B600,"Acquisto")+COUNTIFS($C$5:C600,C600,$B$5:B600,"Vendita"),"")</f>
        <v/>
      </c>
      <c r="O600" t="str">
        <f>IF(N600="","",C600&amp;"|"&amp;N600)</f>
        <v/>
      </c>
      <c r="P600" t="str">
        <f>IF(N600="","",IF(N600=1,0,MATCH(C600&amp;"|"&amp;(N600-1),$O$5:$O$1004,0)))</f>
        <v/>
      </c>
      <c r="Q600" t="str">
        <f>IF(N600="","",IF(P600=0,SUMIFS(Calcoli!$C$7:$C$21,Calcoli!$A$7:$A$21,C600),INDEX($S$5:$S$1004,P600)))</f>
        <v/>
      </c>
      <c r="R600" t="str">
        <f>IF(N600="","",IF(P600=0,SUMIFS(Calcoli!$D$7:$D$21,Calcoli!$A$7:$A$21,C600),INDEX($T$5:$T$1004,P600)))</f>
        <v/>
      </c>
      <c r="S600" t="str">
        <f>IF(N600="","",IF(B600="Acquisto",Q600+N(D600),MAX(0,Q600-N(D600))))</f>
        <v/>
      </c>
      <c r="T600" t="str">
        <f>IF(N600="","",IF(B600="Acquisto",R600+J600+N(G600),IF(Q600&lt;=0,0,R600*(1-MIN(1,N(D600)/Q600)))))</f>
        <v/>
      </c>
      <c r="U600" t="str">
        <f>IF(B600&lt;&gt;"Vendita","",J600-N(G600)-IF(Q600&lt;=0,0,R600*MIN(1,N(D600)/Q600)))</f>
        <v/>
      </c>
      <c r="V600" t="str">
        <f>IF(B600&lt;&gt;"Dividendo","",IF(Calcoli!$B$251=1,J600,L600))</f>
        <v/>
      </c>
      <c r="W600" t="str">
        <f>IF(AND(V600&lt;&gt;"",ISNUMBER(A600)),A600,"")</f>
        <v/>
      </c>
    </row>
    <row r="601">
      <c r="A601" s="134" t="n"/>
      <c r="B601" s="116" t="n"/>
      <c r="C601" s="116" t="n"/>
      <c r="D601" s="121" t="n"/>
      <c r="E601" s="120" t="n"/>
      <c r="F601" s="120" t="n"/>
      <c r="G601" s="120" t="n"/>
      <c r="H601" s="120" t="n"/>
      <c r="I601" s="117" t="n"/>
      <c r="J601" s="123" t="str">
        <f>IF(B601="","",IF(F601&lt;&gt;"",N(F601),ROUND(N(D601)*N(E601),2)))</f>
        <v/>
      </c>
      <c r="K601" s="123" t="str">
        <f>IF(B601="","",IF(H601&lt;&gt;"",N(H601),IF(B601="Dividendo",ROUND(J601*IFERROR(INDEX(Calcoli!$V$7:$V$21,MATCH(C601,Calcoli!$A$7:$A$21,0)),0.26),2),IF(B601="Vendita",ROUND(MAX(0,U601)*IFERROR(INDEX(Calcoli!$V$7:$V$21,MATCH(C601,Calcoli!$A$7:$A$21,0)),0.26),2),0))))</f>
        <v/>
      </c>
      <c r="L601" s="135" t="str">
        <f>IF(B601="","",IF(B601="Acquisto",-(J601+N(G601)),J601-N(G601)-K601))</f>
        <v/>
      </c>
      <c r="M601" s="127" t="str">
        <f>IF(B601="","",IF(ISNA(MATCH(C601,ETF!$A$7:$A$21,0)),"ETF?",IF(NOT(ISNUMBER(A601)),"Data?",IF(AND(B601&lt;&gt;"Dividendo",N(D601)&lt;=0),"Quote?",IF(AND(B601="Vendita",N(D601)&gt;N(Q601)+0.000001),"Quote?",IF(J601&lt;=0,"Importo?","✓"))))))</f>
        <v/>
      </c>
      <c r="N601" t="str">
        <f>IF(OR(B601="Acquisto",B601="Vendita"),COUNTIFS($C$5:C601,C601,$B$5:B601,"Acquisto")+COUNTIFS($C$5:C601,C601,$B$5:B601,"Vendita"),"")</f>
        <v/>
      </c>
      <c r="O601" t="str">
        <f>IF(N601="","",C601&amp;"|"&amp;N601)</f>
        <v/>
      </c>
      <c r="P601" t="str">
        <f>IF(N601="","",IF(N601=1,0,MATCH(C601&amp;"|"&amp;(N601-1),$O$5:$O$1004,0)))</f>
        <v/>
      </c>
      <c r="Q601" t="str">
        <f>IF(N601="","",IF(P601=0,SUMIFS(Calcoli!$C$7:$C$21,Calcoli!$A$7:$A$21,C601),INDEX($S$5:$S$1004,P601)))</f>
        <v/>
      </c>
      <c r="R601" t="str">
        <f>IF(N601="","",IF(P601=0,SUMIFS(Calcoli!$D$7:$D$21,Calcoli!$A$7:$A$21,C601),INDEX($T$5:$T$1004,P601)))</f>
        <v/>
      </c>
      <c r="S601" t="str">
        <f>IF(N601="","",IF(B601="Acquisto",Q601+N(D601),MAX(0,Q601-N(D601))))</f>
        <v/>
      </c>
      <c r="T601" t="str">
        <f>IF(N601="","",IF(B601="Acquisto",R601+J601+N(G601),IF(Q601&lt;=0,0,R601*(1-MIN(1,N(D601)/Q601)))))</f>
        <v/>
      </c>
      <c r="U601" t="str">
        <f>IF(B601&lt;&gt;"Vendita","",J601-N(G601)-IF(Q601&lt;=0,0,R601*MIN(1,N(D601)/Q601)))</f>
        <v/>
      </c>
      <c r="V601" t="str">
        <f>IF(B601&lt;&gt;"Dividendo","",IF(Calcoli!$B$251=1,J601,L601))</f>
        <v/>
      </c>
      <c r="W601" t="str">
        <f>IF(AND(V601&lt;&gt;"",ISNUMBER(A601)),A601,"")</f>
        <v/>
      </c>
    </row>
    <row r="602">
      <c r="A602" s="134" t="n"/>
      <c r="B602" s="116" t="n"/>
      <c r="C602" s="116" t="n"/>
      <c r="D602" s="121" t="n"/>
      <c r="E602" s="120" t="n"/>
      <c r="F602" s="120" t="n"/>
      <c r="G602" s="120" t="n"/>
      <c r="H602" s="120" t="n"/>
      <c r="I602" s="117" t="n"/>
      <c r="J602" s="123" t="str">
        <f>IF(B602="","",IF(F602&lt;&gt;"",N(F602),ROUND(N(D602)*N(E602),2)))</f>
        <v/>
      </c>
      <c r="K602" s="123" t="str">
        <f>IF(B602="","",IF(H602&lt;&gt;"",N(H602),IF(B602="Dividendo",ROUND(J602*IFERROR(INDEX(Calcoli!$V$7:$V$21,MATCH(C602,Calcoli!$A$7:$A$21,0)),0.26),2),IF(B602="Vendita",ROUND(MAX(0,U602)*IFERROR(INDEX(Calcoli!$V$7:$V$21,MATCH(C602,Calcoli!$A$7:$A$21,0)),0.26),2),0))))</f>
        <v/>
      </c>
      <c r="L602" s="135" t="str">
        <f>IF(B602="","",IF(B602="Acquisto",-(J602+N(G602)),J602-N(G602)-K602))</f>
        <v/>
      </c>
      <c r="M602" s="127" t="str">
        <f>IF(B602="","",IF(ISNA(MATCH(C602,ETF!$A$7:$A$21,0)),"ETF?",IF(NOT(ISNUMBER(A602)),"Data?",IF(AND(B602&lt;&gt;"Dividendo",N(D602)&lt;=0),"Quote?",IF(AND(B602="Vendita",N(D602)&gt;N(Q602)+0.000001),"Quote?",IF(J602&lt;=0,"Importo?","✓"))))))</f>
        <v/>
      </c>
      <c r="N602" t="str">
        <f>IF(OR(B602="Acquisto",B602="Vendita"),COUNTIFS($C$5:C602,C602,$B$5:B602,"Acquisto")+COUNTIFS($C$5:C602,C602,$B$5:B602,"Vendita"),"")</f>
        <v/>
      </c>
      <c r="O602" t="str">
        <f>IF(N602="","",C602&amp;"|"&amp;N602)</f>
        <v/>
      </c>
      <c r="P602" t="str">
        <f>IF(N602="","",IF(N602=1,0,MATCH(C602&amp;"|"&amp;(N602-1),$O$5:$O$1004,0)))</f>
        <v/>
      </c>
      <c r="Q602" t="str">
        <f>IF(N602="","",IF(P602=0,SUMIFS(Calcoli!$C$7:$C$21,Calcoli!$A$7:$A$21,C602),INDEX($S$5:$S$1004,P602)))</f>
        <v/>
      </c>
      <c r="R602" t="str">
        <f>IF(N602="","",IF(P602=0,SUMIFS(Calcoli!$D$7:$D$21,Calcoli!$A$7:$A$21,C602),INDEX($T$5:$T$1004,P602)))</f>
        <v/>
      </c>
      <c r="S602" t="str">
        <f>IF(N602="","",IF(B602="Acquisto",Q602+N(D602),MAX(0,Q602-N(D602))))</f>
        <v/>
      </c>
      <c r="T602" t="str">
        <f>IF(N602="","",IF(B602="Acquisto",R602+J602+N(G602),IF(Q602&lt;=0,0,R602*(1-MIN(1,N(D602)/Q602)))))</f>
        <v/>
      </c>
      <c r="U602" t="str">
        <f>IF(B602&lt;&gt;"Vendita","",J602-N(G602)-IF(Q602&lt;=0,0,R602*MIN(1,N(D602)/Q602)))</f>
        <v/>
      </c>
      <c r="V602" t="str">
        <f>IF(B602&lt;&gt;"Dividendo","",IF(Calcoli!$B$251=1,J602,L602))</f>
        <v/>
      </c>
      <c r="W602" t="str">
        <f>IF(AND(V602&lt;&gt;"",ISNUMBER(A602)),A602,"")</f>
        <v/>
      </c>
    </row>
    <row r="603">
      <c r="A603" s="134" t="n"/>
      <c r="B603" s="116" t="n"/>
      <c r="C603" s="116" t="n"/>
      <c r="D603" s="121" t="n"/>
      <c r="E603" s="120" t="n"/>
      <c r="F603" s="120" t="n"/>
      <c r="G603" s="120" t="n"/>
      <c r="H603" s="120" t="n"/>
      <c r="I603" s="117" t="n"/>
      <c r="J603" s="123" t="str">
        <f>IF(B603="","",IF(F603&lt;&gt;"",N(F603),ROUND(N(D603)*N(E603),2)))</f>
        <v/>
      </c>
      <c r="K603" s="123" t="str">
        <f>IF(B603="","",IF(H603&lt;&gt;"",N(H603),IF(B603="Dividendo",ROUND(J603*IFERROR(INDEX(Calcoli!$V$7:$V$21,MATCH(C603,Calcoli!$A$7:$A$21,0)),0.26),2),IF(B603="Vendita",ROUND(MAX(0,U603)*IFERROR(INDEX(Calcoli!$V$7:$V$21,MATCH(C603,Calcoli!$A$7:$A$21,0)),0.26),2),0))))</f>
        <v/>
      </c>
      <c r="L603" s="135" t="str">
        <f>IF(B603="","",IF(B603="Acquisto",-(J603+N(G603)),J603-N(G603)-K603))</f>
        <v/>
      </c>
      <c r="M603" s="127" t="str">
        <f>IF(B603="","",IF(ISNA(MATCH(C603,ETF!$A$7:$A$21,0)),"ETF?",IF(NOT(ISNUMBER(A603)),"Data?",IF(AND(B603&lt;&gt;"Dividendo",N(D603)&lt;=0),"Quote?",IF(AND(B603="Vendita",N(D603)&gt;N(Q603)+0.000001),"Quote?",IF(J603&lt;=0,"Importo?","✓"))))))</f>
        <v/>
      </c>
      <c r="N603" t="str">
        <f>IF(OR(B603="Acquisto",B603="Vendita"),COUNTIFS($C$5:C603,C603,$B$5:B603,"Acquisto")+COUNTIFS($C$5:C603,C603,$B$5:B603,"Vendita"),"")</f>
        <v/>
      </c>
      <c r="O603" t="str">
        <f>IF(N603="","",C603&amp;"|"&amp;N603)</f>
        <v/>
      </c>
      <c r="P603" t="str">
        <f>IF(N603="","",IF(N603=1,0,MATCH(C603&amp;"|"&amp;(N603-1),$O$5:$O$1004,0)))</f>
        <v/>
      </c>
      <c r="Q603" t="str">
        <f>IF(N603="","",IF(P603=0,SUMIFS(Calcoli!$C$7:$C$21,Calcoli!$A$7:$A$21,C603),INDEX($S$5:$S$1004,P603)))</f>
        <v/>
      </c>
      <c r="R603" t="str">
        <f>IF(N603="","",IF(P603=0,SUMIFS(Calcoli!$D$7:$D$21,Calcoli!$A$7:$A$21,C603),INDEX($T$5:$T$1004,P603)))</f>
        <v/>
      </c>
      <c r="S603" t="str">
        <f>IF(N603="","",IF(B603="Acquisto",Q603+N(D603),MAX(0,Q603-N(D603))))</f>
        <v/>
      </c>
      <c r="T603" t="str">
        <f>IF(N603="","",IF(B603="Acquisto",R603+J603+N(G603),IF(Q603&lt;=0,0,R603*(1-MIN(1,N(D603)/Q603)))))</f>
        <v/>
      </c>
      <c r="U603" t="str">
        <f>IF(B603&lt;&gt;"Vendita","",J603-N(G603)-IF(Q603&lt;=0,0,R603*MIN(1,N(D603)/Q603)))</f>
        <v/>
      </c>
      <c r="V603" t="str">
        <f>IF(B603&lt;&gt;"Dividendo","",IF(Calcoli!$B$251=1,J603,L603))</f>
        <v/>
      </c>
      <c r="W603" t="str">
        <f>IF(AND(V603&lt;&gt;"",ISNUMBER(A603)),A603,"")</f>
        <v/>
      </c>
    </row>
    <row r="604">
      <c r="A604" s="134" t="n"/>
      <c r="B604" s="116" t="n"/>
      <c r="C604" s="116" t="n"/>
      <c r="D604" s="121" t="n"/>
      <c r="E604" s="120" t="n"/>
      <c r="F604" s="120" t="n"/>
      <c r="G604" s="120" t="n"/>
      <c r="H604" s="120" t="n"/>
      <c r="I604" s="117" t="n"/>
      <c r="J604" s="123" t="str">
        <f>IF(B604="","",IF(F604&lt;&gt;"",N(F604),ROUND(N(D604)*N(E604),2)))</f>
        <v/>
      </c>
      <c r="K604" s="123" t="str">
        <f>IF(B604="","",IF(H604&lt;&gt;"",N(H604),IF(B604="Dividendo",ROUND(J604*IFERROR(INDEX(Calcoli!$V$7:$V$21,MATCH(C604,Calcoli!$A$7:$A$21,0)),0.26),2),IF(B604="Vendita",ROUND(MAX(0,U604)*IFERROR(INDEX(Calcoli!$V$7:$V$21,MATCH(C604,Calcoli!$A$7:$A$21,0)),0.26),2),0))))</f>
        <v/>
      </c>
      <c r="L604" s="135" t="str">
        <f>IF(B604="","",IF(B604="Acquisto",-(J604+N(G604)),J604-N(G604)-K604))</f>
        <v/>
      </c>
      <c r="M604" s="127" t="str">
        <f>IF(B604="","",IF(ISNA(MATCH(C604,ETF!$A$7:$A$21,0)),"ETF?",IF(NOT(ISNUMBER(A604)),"Data?",IF(AND(B604&lt;&gt;"Dividendo",N(D604)&lt;=0),"Quote?",IF(AND(B604="Vendita",N(D604)&gt;N(Q604)+0.000001),"Quote?",IF(J604&lt;=0,"Importo?","✓"))))))</f>
        <v/>
      </c>
      <c r="N604" t="str">
        <f>IF(OR(B604="Acquisto",B604="Vendita"),COUNTIFS($C$5:C604,C604,$B$5:B604,"Acquisto")+COUNTIFS($C$5:C604,C604,$B$5:B604,"Vendita"),"")</f>
        <v/>
      </c>
      <c r="O604" t="str">
        <f>IF(N604="","",C604&amp;"|"&amp;N604)</f>
        <v/>
      </c>
      <c r="P604" t="str">
        <f>IF(N604="","",IF(N604=1,0,MATCH(C604&amp;"|"&amp;(N604-1),$O$5:$O$1004,0)))</f>
        <v/>
      </c>
      <c r="Q604" t="str">
        <f>IF(N604="","",IF(P604=0,SUMIFS(Calcoli!$C$7:$C$21,Calcoli!$A$7:$A$21,C604),INDEX($S$5:$S$1004,P604)))</f>
        <v/>
      </c>
      <c r="R604" t="str">
        <f>IF(N604="","",IF(P604=0,SUMIFS(Calcoli!$D$7:$D$21,Calcoli!$A$7:$A$21,C604),INDEX($T$5:$T$1004,P604)))</f>
        <v/>
      </c>
      <c r="S604" t="str">
        <f>IF(N604="","",IF(B604="Acquisto",Q604+N(D604),MAX(0,Q604-N(D604))))</f>
        <v/>
      </c>
      <c r="T604" t="str">
        <f>IF(N604="","",IF(B604="Acquisto",R604+J604+N(G604),IF(Q604&lt;=0,0,R604*(1-MIN(1,N(D604)/Q604)))))</f>
        <v/>
      </c>
      <c r="U604" t="str">
        <f>IF(B604&lt;&gt;"Vendita","",J604-N(G604)-IF(Q604&lt;=0,0,R604*MIN(1,N(D604)/Q604)))</f>
        <v/>
      </c>
      <c r="V604" t="str">
        <f>IF(B604&lt;&gt;"Dividendo","",IF(Calcoli!$B$251=1,J604,L604))</f>
        <v/>
      </c>
      <c r="W604" t="str">
        <f>IF(AND(V604&lt;&gt;"",ISNUMBER(A604)),A604,"")</f>
        <v/>
      </c>
    </row>
    <row r="605">
      <c r="A605" s="134" t="n"/>
      <c r="B605" s="116" t="n"/>
      <c r="C605" s="116" t="n"/>
      <c r="D605" s="121" t="n"/>
      <c r="E605" s="120" t="n"/>
      <c r="F605" s="120" t="n"/>
      <c r="G605" s="120" t="n"/>
      <c r="H605" s="120" t="n"/>
      <c r="I605" s="117" t="n"/>
      <c r="J605" s="123" t="str">
        <f>IF(B605="","",IF(F605&lt;&gt;"",N(F605),ROUND(N(D605)*N(E605),2)))</f>
        <v/>
      </c>
      <c r="K605" s="123" t="str">
        <f>IF(B605="","",IF(H605&lt;&gt;"",N(H605),IF(B605="Dividendo",ROUND(J605*IFERROR(INDEX(Calcoli!$V$7:$V$21,MATCH(C605,Calcoli!$A$7:$A$21,0)),0.26),2),IF(B605="Vendita",ROUND(MAX(0,U605)*IFERROR(INDEX(Calcoli!$V$7:$V$21,MATCH(C605,Calcoli!$A$7:$A$21,0)),0.26),2),0))))</f>
        <v/>
      </c>
      <c r="L605" s="135" t="str">
        <f>IF(B605="","",IF(B605="Acquisto",-(J605+N(G605)),J605-N(G605)-K605))</f>
        <v/>
      </c>
      <c r="M605" s="127" t="str">
        <f>IF(B605="","",IF(ISNA(MATCH(C605,ETF!$A$7:$A$21,0)),"ETF?",IF(NOT(ISNUMBER(A605)),"Data?",IF(AND(B605&lt;&gt;"Dividendo",N(D605)&lt;=0),"Quote?",IF(AND(B605="Vendita",N(D605)&gt;N(Q605)+0.000001),"Quote?",IF(J605&lt;=0,"Importo?","✓"))))))</f>
        <v/>
      </c>
      <c r="N605" t="str">
        <f>IF(OR(B605="Acquisto",B605="Vendita"),COUNTIFS($C$5:C605,C605,$B$5:B605,"Acquisto")+COUNTIFS($C$5:C605,C605,$B$5:B605,"Vendita"),"")</f>
        <v/>
      </c>
      <c r="O605" t="str">
        <f>IF(N605="","",C605&amp;"|"&amp;N605)</f>
        <v/>
      </c>
      <c r="P605" t="str">
        <f>IF(N605="","",IF(N605=1,0,MATCH(C605&amp;"|"&amp;(N605-1),$O$5:$O$1004,0)))</f>
        <v/>
      </c>
      <c r="Q605" t="str">
        <f>IF(N605="","",IF(P605=0,SUMIFS(Calcoli!$C$7:$C$21,Calcoli!$A$7:$A$21,C605),INDEX($S$5:$S$1004,P605)))</f>
        <v/>
      </c>
      <c r="R605" t="str">
        <f>IF(N605="","",IF(P605=0,SUMIFS(Calcoli!$D$7:$D$21,Calcoli!$A$7:$A$21,C605),INDEX($T$5:$T$1004,P605)))</f>
        <v/>
      </c>
      <c r="S605" t="str">
        <f>IF(N605="","",IF(B605="Acquisto",Q605+N(D605),MAX(0,Q605-N(D605))))</f>
        <v/>
      </c>
      <c r="T605" t="str">
        <f>IF(N605="","",IF(B605="Acquisto",R605+J605+N(G605),IF(Q605&lt;=0,0,R605*(1-MIN(1,N(D605)/Q605)))))</f>
        <v/>
      </c>
      <c r="U605" t="str">
        <f>IF(B605&lt;&gt;"Vendita","",J605-N(G605)-IF(Q605&lt;=0,0,R605*MIN(1,N(D605)/Q605)))</f>
        <v/>
      </c>
      <c r="V605" t="str">
        <f>IF(B605&lt;&gt;"Dividendo","",IF(Calcoli!$B$251=1,J605,L605))</f>
        <v/>
      </c>
      <c r="W605" t="str">
        <f>IF(AND(V605&lt;&gt;"",ISNUMBER(A605)),A605,"")</f>
        <v/>
      </c>
    </row>
    <row r="606">
      <c r="A606" s="134" t="n"/>
      <c r="B606" s="116" t="n"/>
      <c r="C606" s="116" t="n"/>
      <c r="D606" s="121" t="n"/>
      <c r="E606" s="120" t="n"/>
      <c r="F606" s="120" t="n"/>
      <c r="G606" s="120" t="n"/>
      <c r="H606" s="120" t="n"/>
      <c r="I606" s="117" t="n"/>
      <c r="J606" s="123" t="str">
        <f>IF(B606="","",IF(F606&lt;&gt;"",N(F606),ROUND(N(D606)*N(E606),2)))</f>
        <v/>
      </c>
      <c r="K606" s="123" t="str">
        <f>IF(B606="","",IF(H606&lt;&gt;"",N(H606),IF(B606="Dividendo",ROUND(J606*IFERROR(INDEX(Calcoli!$V$7:$V$21,MATCH(C606,Calcoli!$A$7:$A$21,0)),0.26),2),IF(B606="Vendita",ROUND(MAX(0,U606)*IFERROR(INDEX(Calcoli!$V$7:$V$21,MATCH(C606,Calcoli!$A$7:$A$21,0)),0.26),2),0))))</f>
        <v/>
      </c>
      <c r="L606" s="135" t="str">
        <f>IF(B606="","",IF(B606="Acquisto",-(J606+N(G606)),J606-N(G606)-K606))</f>
        <v/>
      </c>
      <c r="M606" s="127" t="str">
        <f>IF(B606="","",IF(ISNA(MATCH(C606,ETF!$A$7:$A$21,0)),"ETF?",IF(NOT(ISNUMBER(A606)),"Data?",IF(AND(B606&lt;&gt;"Dividendo",N(D606)&lt;=0),"Quote?",IF(AND(B606="Vendita",N(D606)&gt;N(Q606)+0.000001),"Quote?",IF(J606&lt;=0,"Importo?","✓"))))))</f>
        <v/>
      </c>
      <c r="N606" t="str">
        <f>IF(OR(B606="Acquisto",B606="Vendita"),COUNTIFS($C$5:C606,C606,$B$5:B606,"Acquisto")+COUNTIFS($C$5:C606,C606,$B$5:B606,"Vendita"),"")</f>
        <v/>
      </c>
      <c r="O606" t="str">
        <f>IF(N606="","",C606&amp;"|"&amp;N606)</f>
        <v/>
      </c>
      <c r="P606" t="str">
        <f>IF(N606="","",IF(N606=1,0,MATCH(C606&amp;"|"&amp;(N606-1),$O$5:$O$1004,0)))</f>
        <v/>
      </c>
      <c r="Q606" t="str">
        <f>IF(N606="","",IF(P606=0,SUMIFS(Calcoli!$C$7:$C$21,Calcoli!$A$7:$A$21,C606),INDEX($S$5:$S$1004,P606)))</f>
        <v/>
      </c>
      <c r="R606" t="str">
        <f>IF(N606="","",IF(P606=0,SUMIFS(Calcoli!$D$7:$D$21,Calcoli!$A$7:$A$21,C606),INDEX($T$5:$T$1004,P606)))</f>
        <v/>
      </c>
      <c r="S606" t="str">
        <f>IF(N606="","",IF(B606="Acquisto",Q606+N(D606),MAX(0,Q606-N(D606))))</f>
        <v/>
      </c>
      <c r="T606" t="str">
        <f>IF(N606="","",IF(B606="Acquisto",R606+J606+N(G606),IF(Q606&lt;=0,0,R606*(1-MIN(1,N(D606)/Q606)))))</f>
        <v/>
      </c>
      <c r="U606" t="str">
        <f>IF(B606&lt;&gt;"Vendita","",J606-N(G606)-IF(Q606&lt;=0,0,R606*MIN(1,N(D606)/Q606)))</f>
        <v/>
      </c>
      <c r="V606" t="str">
        <f>IF(B606&lt;&gt;"Dividendo","",IF(Calcoli!$B$251=1,J606,L606))</f>
        <v/>
      </c>
      <c r="W606" t="str">
        <f>IF(AND(V606&lt;&gt;"",ISNUMBER(A606)),A606,"")</f>
        <v/>
      </c>
    </row>
    <row r="607">
      <c r="A607" s="134" t="n"/>
      <c r="B607" s="116" t="n"/>
      <c r="C607" s="116" t="n"/>
      <c r="D607" s="121" t="n"/>
      <c r="E607" s="120" t="n"/>
      <c r="F607" s="120" t="n"/>
      <c r="G607" s="120" t="n"/>
      <c r="H607" s="120" t="n"/>
      <c r="I607" s="117" t="n"/>
      <c r="J607" s="123" t="str">
        <f>IF(B607="","",IF(F607&lt;&gt;"",N(F607),ROUND(N(D607)*N(E607),2)))</f>
        <v/>
      </c>
      <c r="K607" s="123" t="str">
        <f>IF(B607="","",IF(H607&lt;&gt;"",N(H607),IF(B607="Dividendo",ROUND(J607*IFERROR(INDEX(Calcoli!$V$7:$V$21,MATCH(C607,Calcoli!$A$7:$A$21,0)),0.26),2),IF(B607="Vendita",ROUND(MAX(0,U607)*IFERROR(INDEX(Calcoli!$V$7:$V$21,MATCH(C607,Calcoli!$A$7:$A$21,0)),0.26),2),0))))</f>
        <v/>
      </c>
      <c r="L607" s="135" t="str">
        <f>IF(B607="","",IF(B607="Acquisto",-(J607+N(G607)),J607-N(G607)-K607))</f>
        <v/>
      </c>
      <c r="M607" s="127" t="str">
        <f>IF(B607="","",IF(ISNA(MATCH(C607,ETF!$A$7:$A$21,0)),"ETF?",IF(NOT(ISNUMBER(A607)),"Data?",IF(AND(B607&lt;&gt;"Dividendo",N(D607)&lt;=0),"Quote?",IF(AND(B607="Vendita",N(D607)&gt;N(Q607)+0.000001),"Quote?",IF(J607&lt;=0,"Importo?","✓"))))))</f>
        <v/>
      </c>
      <c r="N607" t="str">
        <f>IF(OR(B607="Acquisto",B607="Vendita"),COUNTIFS($C$5:C607,C607,$B$5:B607,"Acquisto")+COUNTIFS($C$5:C607,C607,$B$5:B607,"Vendita"),"")</f>
        <v/>
      </c>
      <c r="O607" t="str">
        <f>IF(N607="","",C607&amp;"|"&amp;N607)</f>
        <v/>
      </c>
      <c r="P607" t="str">
        <f>IF(N607="","",IF(N607=1,0,MATCH(C607&amp;"|"&amp;(N607-1),$O$5:$O$1004,0)))</f>
        <v/>
      </c>
      <c r="Q607" t="str">
        <f>IF(N607="","",IF(P607=0,SUMIFS(Calcoli!$C$7:$C$21,Calcoli!$A$7:$A$21,C607),INDEX($S$5:$S$1004,P607)))</f>
        <v/>
      </c>
      <c r="R607" t="str">
        <f>IF(N607="","",IF(P607=0,SUMIFS(Calcoli!$D$7:$D$21,Calcoli!$A$7:$A$21,C607),INDEX($T$5:$T$1004,P607)))</f>
        <v/>
      </c>
      <c r="S607" t="str">
        <f>IF(N607="","",IF(B607="Acquisto",Q607+N(D607),MAX(0,Q607-N(D607))))</f>
        <v/>
      </c>
      <c r="T607" t="str">
        <f>IF(N607="","",IF(B607="Acquisto",R607+J607+N(G607),IF(Q607&lt;=0,0,R607*(1-MIN(1,N(D607)/Q607)))))</f>
        <v/>
      </c>
      <c r="U607" t="str">
        <f>IF(B607&lt;&gt;"Vendita","",J607-N(G607)-IF(Q607&lt;=0,0,R607*MIN(1,N(D607)/Q607)))</f>
        <v/>
      </c>
      <c r="V607" t="str">
        <f>IF(B607&lt;&gt;"Dividendo","",IF(Calcoli!$B$251=1,J607,L607))</f>
        <v/>
      </c>
      <c r="W607" t="str">
        <f>IF(AND(V607&lt;&gt;"",ISNUMBER(A607)),A607,"")</f>
        <v/>
      </c>
    </row>
    <row r="608">
      <c r="A608" s="134" t="n"/>
      <c r="B608" s="116" t="n"/>
      <c r="C608" s="116" t="n"/>
      <c r="D608" s="121" t="n"/>
      <c r="E608" s="120" t="n"/>
      <c r="F608" s="120" t="n"/>
      <c r="G608" s="120" t="n"/>
      <c r="H608" s="120" t="n"/>
      <c r="I608" s="117" t="n"/>
      <c r="J608" s="123" t="str">
        <f>IF(B608="","",IF(F608&lt;&gt;"",N(F608),ROUND(N(D608)*N(E608),2)))</f>
        <v/>
      </c>
      <c r="K608" s="123" t="str">
        <f>IF(B608="","",IF(H608&lt;&gt;"",N(H608),IF(B608="Dividendo",ROUND(J608*IFERROR(INDEX(Calcoli!$V$7:$V$21,MATCH(C608,Calcoli!$A$7:$A$21,0)),0.26),2),IF(B608="Vendita",ROUND(MAX(0,U608)*IFERROR(INDEX(Calcoli!$V$7:$V$21,MATCH(C608,Calcoli!$A$7:$A$21,0)),0.26),2),0))))</f>
        <v/>
      </c>
      <c r="L608" s="135" t="str">
        <f>IF(B608="","",IF(B608="Acquisto",-(J608+N(G608)),J608-N(G608)-K608))</f>
        <v/>
      </c>
      <c r="M608" s="127" t="str">
        <f>IF(B608="","",IF(ISNA(MATCH(C608,ETF!$A$7:$A$21,0)),"ETF?",IF(NOT(ISNUMBER(A608)),"Data?",IF(AND(B608&lt;&gt;"Dividendo",N(D608)&lt;=0),"Quote?",IF(AND(B608="Vendita",N(D608)&gt;N(Q608)+0.000001),"Quote?",IF(J608&lt;=0,"Importo?","✓"))))))</f>
        <v/>
      </c>
      <c r="N608" t="str">
        <f>IF(OR(B608="Acquisto",B608="Vendita"),COUNTIFS($C$5:C608,C608,$B$5:B608,"Acquisto")+COUNTIFS($C$5:C608,C608,$B$5:B608,"Vendita"),"")</f>
        <v/>
      </c>
      <c r="O608" t="str">
        <f>IF(N608="","",C608&amp;"|"&amp;N608)</f>
        <v/>
      </c>
      <c r="P608" t="str">
        <f>IF(N608="","",IF(N608=1,0,MATCH(C608&amp;"|"&amp;(N608-1),$O$5:$O$1004,0)))</f>
        <v/>
      </c>
      <c r="Q608" t="str">
        <f>IF(N608="","",IF(P608=0,SUMIFS(Calcoli!$C$7:$C$21,Calcoli!$A$7:$A$21,C608),INDEX($S$5:$S$1004,P608)))</f>
        <v/>
      </c>
      <c r="R608" t="str">
        <f>IF(N608="","",IF(P608=0,SUMIFS(Calcoli!$D$7:$D$21,Calcoli!$A$7:$A$21,C608),INDEX($T$5:$T$1004,P608)))</f>
        <v/>
      </c>
      <c r="S608" t="str">
        <f>IF(N608="","",IF(B608="Acquisto",Q608+N(D608),MAX(0,Q608-N(D608))))</f>
        <v/>
      </c>
      <c r="T608" t="str">
        <f>IF(N608="","",IF(B608="Acquisto",R608+J608+N(G608),IF(Q608&lt;=0,0,R608*(1-MIN(1,N(D608)/Q608)))))</f>
        <v/>
      </c>
      <c r="U608" t="str">
        <f>IF(B608&lt;&gt;"Vendita","",J608-N(G608)-IF(Q608&lt;=0,0,R608*MIN(1,N(D608)/Q608)))</f>
        <v/>
      </c>
      <c r="V608" t="str">
        <f>IF(B608&lt;&gt;"Dividendo","",IF(Calcoli!$B$251=1,J608,L608))</f>
        <v/>
      </c>
      <c r="W608" t="str">
        <f>IF(AND(V608&lt;&gt;"",ISNUMBER(A608)),A608,"")</f>
        <v/>
      </c>
    </row>
    <row r="609">
      <c r="A609" s="134" t="n"/>
      <c r="B609" s="116" t="n"/>
      <c r="C609" s="116" t="n"/>
      <c r="D609" s="121" t="n"/>
      <c r="E609" s="120" t="n"/>
      <c r="F609" s="120" t="n"/>
      <c r="G609" s="120" t="n"/>
      <c r="H609" s="120" t="n"/>
      <c r="I609" s="117" t="n"/>
      <c r="J609" s="123" t="str">
        <f>IF(B609="","",IF(F609&lt;&gt;"",N(F609),ROUND(N(D609)*N(E609),2)))</f>
        <v/>
      </c>
      <c r="K609" s="123" t="str">
        <f>IF(B609="","",IF(H609&lt;&gt;"",N(H609),IF(B609="Dividendo",ROUND(J609*IFERROR(INDEX(Calcoli!$V$7:$V$21,MATCH(C609,Calcoli!$A$7:$A$21,0)),0.26),2),IF(B609="Vendita",ROUND(MAX(0,U609)*IFERROR(INDEX(Calcoli!$V$7:$V$21,MATCH(C609,Calcoli!$A$7:$A$21,0)),0.26),2),0))))</f>
        <v/>
      </c>
      <c r="L609" s="135" t="str">
        <f>IF(B609="","",IF(B609="Acquisto",-(J609+N(G609)),J609-N(G609)-K609))</f>
        <v/>
      </c>
      <c r="M609" s="127" t="str">
        <f>IF(B609="","",IF(ISNA(MATCH(C609,ETF!$A$7:$A$21,0)),"ETF?",IF(NOT(ISNUMBER(A609)),"Data?",IF(AND(B609&lt;&gt;"Dividendo",N(D609)&lt;=0),"Quote?",IF(AND(B609="Vendita",N(D609)&gt;N(Q609)+0.000001),"Quote?",IF(J609&lt;=0,"Importo?","✓"))))))</f>
        <v/>
      </c>
      <c r="N609" t="str">
        <f>IF(OR(B609="Acquisto",B609="Vendita"),COUNTIFS($C$5:C609,C609,$B$5:B609,"Acquisto")+COUNTIFS($C$5:C609,C609,$B$5:B609,"Vendita"),"")</f>
        <v/>
      </c>
      <c r="O609" t="str">
        <f>IF(N609="","",C609&amp;"|"&amp;N609)</f>
        <v/>
      </c>
      <c r="P609" t="str">
        <f>IF(N609="","",IF(N609=1,0,MATCH(C609&amp;"|"&amp;(N609-1),$O$5:$O$1004,0)))</f>
        <v/>
      </c>
      <c r="Q609" t="str">
        <f>IF(N609="","",IF(P609=0,SUMIFS(Calcoli!$C$7:$C$21,Calcoli!$A$7:$A$21,C609),INDEX($S$5:$S$1004,P609)))</f>
        <v/>
      </c>
      <c r="R609" t="str">
        <f>IF(N609="","",IF(P609=0,SUMIFS(Calcoli!$D$7:$D$21,Calcoli!$A$7:$A$21,C609),INDEX($T$5:$T$1004,P609)))</f>
        <v/>
      </c>
      <c r="S609" t="str">
        <f>IF(N609="","",IF(B609="Acquisto",Q609+N(D609),MAX(0,Q609-N(D609))))</f>
        <v/>
      </c>
      <c r="T609" t="str">
        <f>IF(N609="","",IF(B609="Acquisto",R609+J609+N(G609),IF(Q609&lt;=0,0,R609*(1-MIN(1,N(D609)/Q609)))))</f>
        <v/>
      </c>
      <c r="U609" t="str">
        <f>IF(B609&lt;&gt;"Vendita","",J609-N(G609)-IF(Q609&lt;=0,0,R609*MIN(1,N(D609)/Q609)))</f>
        <v/>
      </c>
      <c r="V609" t="str">
        <f>IF(B609&lt;&gt;"Dividendo","",IF(Calcoli!$B$251=1,J609,L609))</f>
        <v/>
      </c>
      <c r="W609" t="str">
        <f>IF(AND(V609&lt;&gt;"",ISNUMBER(A609)),A609,"")</f>
        <v/>
      </c>
    </row>
    <row r="610">
      <c r="A610" s="134" t="n"/>
      <c r="B610" s="116" t="n"/>
      <c r="C610" s="116" t="n"/>
      <c r="D610" s="121" t="n"/>
      <c r="E610" s="120" t="n"/>
      <c r="F610" s="120" t="n"/>
      <c r="G610" s="120" t="n"/>
      <c r="H610" s="120" t="n"/>
      <c r="I610" s="117" t="n"/>
      <c r="J610" s="123" t="str">
        <f>IF(B610="","",IF(F610&lt;&gt;"",N(F610),ROUND(N(D610)*N(E610),2)))</f>
        <v/>
      </c>
      <c r="K610" s="123" t="str">
        <f>IF(B610="","",IF(H610&lt;&gt;"",N(H610),IF(B610="Dividendo",ROUND(J610*IFERROR(INDEX(Calcoli!$V$7:$V$21,MATCH(C610,Calcoli!$A$7:$A$21,0)),0.26),2),IF(B610="Vendita",ROUND(MAX(0,U610)*IFERROR(INDEX(Calcoli!$V$7:$V$21,MATCH(C610,Calcoli!$A$7:$A$21,0)),0.26),2),0))))</f>
        <v/>
      </c>
      <c r="L610" s="135" t="str">
        <f>IF(B610="","",IF(B610="Acquisto",-(J610+N(G610)),J610-N(G610)-K610))</f>
        <v/>
      </c>
      <c r="M610" s="127" t="str">
        <f>IF(B610="","",IF(ISNA(MATCH(C610,ETF!$A$7:$A$21,0)),"ETF?",IF(NOT(ISNUMBER(A610)),"Data?",IF(AND(B610&lt;&gt;"Dividendo",N(D610)&lt;=0),"Quote?",IF(AND(B610="Vendita",N(D610)&gt;N(Q610)+0.000001),"Quote?",IF(J610&lt;=0,"Importo?","✓"))))))</f>
        <v/>
      </c>
      <c r="N610" t="str">
        <f>IF(OR(B610="Acquisto",B610="Vendita"),COUNTIFS($C$5:C610,C610,$B$5:B610,"Acquisto")+COUNTIFS($C$5:C610,C610,$B$5:B610,"Vendita"),"")</f>
        <v/>
      </c>
      <c r="O610" t="str">
        <f>IF(N610="","",C610&amp;"|"&amp;N610)</f>
        <v/>
      </c>
      <c r="P610" t="str">
        <f>IF(N610="","",IF(N610=1,0,MATCH(C610&amp;"|"&amp;(N610-1),$O$5:$O$1004,0)))</f>
        <v/>
      </c>
      <c r="Q610" t="str">
        <f>IF(N610="","",IF(P610=0,SUMIFS(Calcoli!$C$7:$C$21,Calcoli!$A$7:$A$21,C610),INDEX($S$5:$S$1004,P610)))</f>
        <v/>
      </c>
      <c r="R610" t="str">
        <f>IF(N610="","",IF(P610=0,SUMIFS(Calcoli!$D$7:$D$21,Calcoli!$A$7:$A$21,C610),INDEX($T$5:$T$1004,P610)))</f>
        <v/>
      </c>
      <c r="S610" t="str">
        <f>IF(N610="","",IF(B610="Acquisto",Q610+N(D610),MAX(0,Q610-N(D610))))</f>
        <v/>
      </c>
      <c r="T610" t="str">
        <f>IF(N610="","",IF(B610="Acquisto",R610+J610+N(G610),IF(Q610&lt;=0,0,R610*(1-MIN(1,N(D610)/Q610)))))</f>
        <v/>
      </c>
      <c r="U610" t="str">
        <f>IF(B610&lt;&gt;"Vendita","",J610-N(G610)-IF(Q610&lt;=0,0,R610*MIN(1,N(D610)/Q610)))</f>
        <v/>
      </c>
      <c r="V610" t="str">
        <f>IF(B610&lt;&gt;"Dividendo","",IF(Calcoli!$B$251=1,J610,L610))</f>
        <v/>
      </c>
      <c r="W610" t="str">
        <f>IF(AND(V610&lt;&gt;"",ISNUMBER(A610)),A610,"")</f>
        <v/>
      </c>
    </row>
    <row r="611">
      <c r="A611" s="134" t="n"/>
      <c r="B611" s="116" t="n"/>
      <c r="C611" s="116" t="n"/>
      <c r="D611" s="121" t="n"/>
      <c r="E611" s="120" t="n"/>
      <c r="F611" s="120" t="n"/>
      <c r="G611" s="120" t="n"/>
      <c r="H611" s="120" t="n"/>
      <c r="I611" s="117" t="n"/>
      <c r="J611" s="123" t="str">
        <f>IF(B611="","",IF(F611&lt;&gt;"",N(F611),ROUND(N(D611)*N(E611),2)))</f>
        <v/>
      </c>
      <c r="K611" s="123" t="str">
        <f>IF(B611="","",IF(H611&lt;&gt;"",N(H611),IF(B611="Dividendo",ROUND(J611*IFERROR(INDEX(Calcoli!$V$7:$V$21,MATCH(C611,Calcoli!$A$7:$A$21,0)),0.26),2),IF(B611="Vendita",ROUND(MAX(0,U611)*IFERROR(INDEX(Calcoli!$V$7:$V$21,MATCH(C611,Calcoli!$A$7:$A$21,0)),0.26),2),0))))</f>
        <v/>
      </c>
      <c r="L611" s="135" t="str">
        <f>IF(B611="","",IF(B611="Acquisto",-(J611+N(G611)),J611-N(G611)-K611))</f>
        <v/>
      </c>
      <c r="M611" s="127" t="str">
        <f>IF(B611="","",IF(ISNA(MATCH(C611,ETF!$A$7:$A$21,0)),"ETF?",IF(NOT(ISNUMBER(A611)),"Data?",IF(AND(B611&lt;&gt;"Dividendo",N(D611)&lt;=0),"Quote?",IF(AND(B611="Vendita",N(D611)&gt;N(Q611)+0.000001),"Quote?",IF(J611&lt;=0,"Importo?","✓"))))))</f>
        <v/>
      </c>
      <c r="N611" t="str">
        <f>IF(OR(B611="Acquisto",B611="Vendita"),COUNTIFS($C$5:C611,C611,$B$5:B611,"Acquisto")+COUNTIFS($C$5:C611,C611,$B$5:B611,"Vendita"),"")</f>
        <v/>
      </c>
      <c r="O611" t="str">
        <f>IF(N611="","",C611&amp;"|"&amp;N611)</f>
        <v/>
      </c>
      <c r="P611" t="str">
        <f>IF(N611="","",IF(N611=1,0,MATCH(C611&amp;"|"&amp;(N611-1),$O$5:$O$1004,0)))</f>
        <v/>
      </c>
      <c r="Q611" t="str">
        <f>IF(N611="","",IF(P611=0,SUMIFS(Calcoli!$C$7:$C$21,Calcoli!$A$7:$A$21,C611),INDEX($S$5:$S$1004,P611)))</f>
        <v/>
      </c>
      <c r="R611" t="str">
        <f>IF(N611="","",IF(P611=0,SUMIFS(Calcoli!$D$7:$D$21,Calcoli!$A$7:$A$21,C611),INDEX($T$5:$T$1004,P611)))</f>
        <v/>
      </c>
      <c r="S611" t="str">
        <f>IF(N611="","",IF(B611="Acquisto",Q611+N(D611),MAX(0,Q611-N(D611))))</f>
        <v/>
      </c>
      <c r="T611" t="str">
        <f>IF(N611="","",IF(B611="Acquisto",R611+J611+N(G611),IF(Q611&lt;=0,0,R611*(1-MIN(1,N(D611)/Q611)))))</f>
        <v/>
      </c>
      <c r="U611" t="str">
        <f>IF(B611&lt;&gt;"Vendita","",J611-N(G611)-IF(Q611&lt;=0,0,R611*MIN(1,N(D611)/Q611)))</f>
        <v/>
      </c>
      <c r="V611" t="str">
        <f>IF(B611&lt;&gt;"Dividendo","",IF(Calcoli!$B$251=1,J611,L611))</f>
        <v/>
      </c>
      <c r="W611" t="str">
        <f>IF(AND(V611&lt;&gt;"",ISNUMBER(A611)),A611,"")</f>
        <v/>
      </c>
    </row>
    <row r="612">
      <c r="A612" s="134" t="n"/>
      <c r="B612" s="116" t="n"/>
      <c r="C612" s="116" t="n"/>
      <c r="D612" s="121" t="n"/>
      <c r="E612" s="120" t="n"/>
      <c r="F612" s="120" t="n"/>
      <c r="G612" s="120" t="n"/>
      <c r="H612" s="120" t="n"/>
      <c r="I612" s="117" t="n"/>
      <c r="J612" s="123" t="str">
        <f>IF(B612="","",IF(F612&lt;&gt;"",N(F612),ROUND(N(D612)*N(E612),2)))</f>
        <v/>
      </c>
      <c r="K612" s="123" t="str">
        <f>IF(B612="","",IF(H612&lt;&gt;"",N(H612),IF(B612="Dividendo",ROUND(J612*IFERROR(INDEX(Calcoli!$V$7:$V$21,MATCH(C612,Calcoli!$A$7:$A$21,0)),0.26),2),IF(B612="Vendita",ROUND(MAX(0,U612)*IFERROR(INDEX(Calcoli!$V$7:$V$21,MATCH(C612,Calcoli!$A$7:$A$21,0)),0.26),2),0))))</f>
        <v/>
      </c>
      <c r="L612" s="135" t="str">
        <f>IF(B612="","",IF(B612="Acquisto",-(J612+N(G612)),J612-N(G612)-K612))</f>
        <v/>
      </c>
      <c r="M612" s="127" t="str">
        <f>IF(B612="","",IF(ISNA(MATCH(C612,ETF!$A$7:$A$21,0)),"ETF?",IF(NOT(ISNUMBER(A612)),"Data?",IF(AND(B612&lt;&gt;"Dividendo",N(D612)&lt;=0),"Quote?",IF(AND(B612="Vendita",N(D612)&gt;N(Q612)+0.000001),"Quote?",IF(J612&lt;=0,"Importo?","✓"))))))</f>
        <v/>
      </c>
      <c r="N612" t="str">
        <f>IF(OR(B612="Acquisto",B612="Vendita"),COUNTIFS($C$5:C612,C612,$B$5:B612,"Acquisto")+COUNTIFS($C$5:C612,C612,$B$5:B612,"Vendita"),"")</f>
        <v/>
      </c>
      <c r="O612" t="str">
        <f>IF(N612="","",C612&amp;"|"&amp;N612)</f>
        <v/>
      </c>
      <c r="P612" t="str">
        <f>IF(N612="","",IF(N612=1,0,MATCH(C612&amp;"|"&amp;(N612-1),$O$5:$O$1004,0)))</f>
        <v/>
      </c>
      <c r="Q612" t="str">
        <f>IF(N612="","",IF(P612=0,SUMIFS(Calcoli!$C$7:$C$21,Calcoli!$A$7:$A$21,C612),INDEX($S$5:$S$1004,P612)))</f>
        <v/>
      </c>
      <c r="R612" t="str">
        <f>IF(N612="","",IF(P612=0,SUMIFS(Calcoli!$D$7:$D$21,Calcoli!$A$7:$A$21,C612),INDEX($T$5:$T$1004,P612)))</f>
        <v/>
      </c>
      <c r="S612" t="str">
        <f>IF(N612="","",IF(B612="Acquisto",Q612+N(D612),MAX(0,Q612-N(D612))))</f>
        <v/>
      </c>
      <c r="T612" t="str">
        <f>IF(N612="","",IF(B612="Acquisto",R612+J612+N(G612),IF(Q612&lt;=0,0,R612*(1-MIN(1,N(D612)/Q612)))))</f>
        <v/>
      </c>
      <c r="U612" t="str">
        <f>IF(B612&lt;&gt;"Vendita","",J612-N(G612)-IF(Q612&lt;=0,0,R612*MIN(1,N(D612)/Q612)))</f>
        <v/>
      </c>
      <c r="V612" t="str">
        <f>IF(B612&lt;&gt;"Dividendo","",IF(Calcoli!$B$251=1,J612,L612))</f>
        <v/>
      </c>
      <c r="W612" t="str">
        <f>IF(AND(V612&lt;&gt;"",ISNUMBER(A612)),A612,"")</f>
        <v/>
      </c>
    </row>
    <row r="613">
      <c r="A613" s="134" t="n"/>
      <c r="B613" s="116" t="n"/>
      <c r="C613" s="116" t="n"/>
      <c r="D613" s="121" t="n"/>
      <c r="E613" s="120" t="n"/>
      <c r="F613" s="120" t="n"/>
      <c r="G613" s="120" t="n"/>
      <c r="H613" s="120" t="n"/>
      <c r="I613" s="117" t="n"/>
      <c r="J613" s="123" t="str">
        <f>IF(B613="","",IF(F613&lt;&gt;"",N(F613),ROUND(N(D613)*N(E613),2)))</f>
        <v/>
      </c>
      <c r="K613" s="123" t="str">
        <f>IF(B613="","",IF(H613&lt;&gt;"",N(H613),IF(B613="Dividendo",ROUND(J613*IFERROR(INDEX(Calcoli!$V$7:$V$21,MATCH(C613,Calcoli!$A$7:$A$21,0)),0.26),2),IF(B613="Vendita",ROUND(MAX(0,U613)*IFERROR(INDEX(Calcoli!$V$7:$V$21,MATCH(C613,Calcoli!$A$7:$A$21,0)),0.26),2),0))))</f>
        <v/>
      </c>
      <c r="L613" s="135" t="str">
        <f>IF(B613="","",IF(B613="Acquisto",-(J613+N(G613)),J613-N(G613)-K613))</f>
        <v/>
      </c>
      <c r="M613" s="127" t="str">
        <f>IF(B613="","",IF(ISNA(MATCH(C613,ETF!$A$7:$A$21,0)),"ETF?",IF(NOT(ISNUMBER(A613)),"Data?",IF(AND(B613&lt;&gt;"Dividendo",N(D613)&lt;=0),"Quote?",IF(AND(B613="Vendita",N(D613)&gt;N(Q613)+0.000001),"Quote?",IF(J613&lt;=0,"Importo?","✓"))))))</f>
        <v/>
      </c>
      <c r="N613" t="str">
        <f>IF(OR(B613="Acquisto",B613="Vendita"),COUNTIFS($C$5:C613,C613,$B$5:B613,"Acquisto")+COUNTIFS($C$5:C613,C613,$B$5:B613,"Vendita"),"")</f>
        <v/>
      </c>
      <c r="O613" t="str">
        <f>IF(N613="","",C613&amp;"|"&amp;N613)</f>
        <v/>
      </c>
      <c r="P613" t="str">
        <f>IF(N613="","",IF(N613=1,0,MATCH(C613&amp;"|"&amp;(N613-1),$O$5:$O$1004,0)))</f>
        <v/>
      </c>
      <c r="Q613" t="str">
        <f>IF(N613="","",IF(P613=0,SUMIFS(Calcoli!$C$7:$C$21,Calcoli!$A$7:$A$21,C613),INDEX($S$5:$S$1004,P613)))</f>
        <v/>
      </c>
      <c r="R613" t="str">
        <f>IF(N613="","",IF(P613=0,SUMIFS(Calcoli!$D$7:$D$21,Calcoli!$A$7:$A$21,C613),INDEX($T$5:$T$1004,P613)))</f>
        <v/>
      </c>
      <c r="S613" t="str">
        <f>IF(N613="","",IF(B613="Acquisto",Q613+N(D613),MAX(0,Q613-N(D613))))</f>
        <v/>
      </c>
      <c r="T613" t="str">
        <f>IF(N613="","",IF(B613="Acquisto",R613+J613+N(G613),IF(Q613&lt;=0,0,R613*(1-MIN(1,N(D613)/Q613)))))</f>
        <v/>
      </c>
      <c r="U613" t="str">
        <f>IF(B613&lt;&gt;"Vendita","",J613-N(G613)-IF(Q613&lt;=0,0,R613*MIN(1,N(D613)/Q613)))</f>
        <v/>
      </c>
      <c r="V613" t="str">
        <f>IF(B613&lt;&gt;"Dividendo","",IF(Calcoli!$B$251=1,J613,L613))</f>
        <v/>
      </c>
      <c r="W613" t="str">
        <f>IF(AND(V613&lt;&gt;"",ISNUMBER(A613)),A613,"")</f>
        <v/>
      </c>
    </row>
    <row r="614">
      <c r="A614" s="134" t="n"/>
      <c r="B614" s="116" t="n"/>
      <c r="C614" s="116" t="n"/>
      <c r="D614" s="121" t="n"/>
      <c r="E614" s="120" t="n"/>
      <c r="F614" s="120" t="n"/>
      <c r="G614" s="120" t="n"/>
      <c r="H614" s="120" t="n"/>
      <c r="I614" s="117" t="n"/>
      <c r="J614" s="123" t="str">
        <f>IF(B614="","",IF(F614&lt;&gt;"",N(F614),ROUND(N(D614)*N(E614),2)))</f>
        <v/>
      </c>
      <c r="K614" s="123" t="str">
        <f>IF(B614="","",IF(H614&lt;&gt;"",N(H614),IF(B614="Dividendo",ROUND(J614*IFERROR(INDEX(Calcoli!$V$7:$V$21,MATCH(C614,Calcoli!$A$7:$A$21,0)),0.26),2),IF(B614="Vendita",ROUND(MAX(0,U614)*IFERROR(INDEX(Calcoli!$V$7:$V$21,MATCH(C614,Calcoli!$A$7:$A$21,0)),0.26),2),0))))</f>
        <v/>
      </c>
      <c r="L614" s="135" t="str">
        <f>IF(B614="","",IF(B614="Acquisto",-(J614+N(G614)),J614-N(G614)-K614))</f>
        <v/>
      </c>
      <c r="M614" s="127" t="str">
        <f>IF(B614="","",IF(ISNA(MATCH(C614,ETF!$A$7:$A$21,0)),"ETF?",IF(NOT(ISNUMBER(A614)),"Data?",IF(AND(B614&lt;&gt;"Dividendo",N(D614)&lt;=0),"Quote?",IF(AND(B614="Vendita",N(D614)&gt;N(Q614)+0.000001),"Quote?",IF(J614&lt;=0,"Importo?","✓"))))))</f>
        <v/>
      </c>
      <c r="N614" t="str">
        <f>IF(OR(B614="Acquisto",B614="Vendita"),COUNTIFS($C$5:C614,C614,$B$5:B614,"Acquisto")+COUNTIFS($C$5:C614,C614,$B$5:B614,"Vendita"),"")</f>
        <v/>
      </c>
      <c r="O614" t="str">
        <f>IF(N614="","",C614&amp;"|"&amp;N614)</f>
        <v/>
      </c>
      <c r="P614" t="str">
        <f>IF(N614="","",IF(N614=1,0,MATCH(C614&amp;"|"&amp;(N614-1),$O$5:$O$1004,0)))</f>
        <v/>
      </c>
      <c r="Q614" t="str">
        <f>IF(N614="","",IF(P614=0,SUMIFS(Calcoli!$C$7:$C$21,Calcoli!$A$7:$A$21,C614),INDEX($S$5:$S$1004,P614)))</f>
        <v/>
      </c>
      <c r="R614" t="str">
        <f>IF(N614="","",IF(P614=0,SUMIFS(Calcoli!$D$7:$D$21,Calcoli!$A$7:$A$21,C614),INDEX($T$5:$T$1004,P614)))</f>
        <v/>
      </c>
      <c r="S614" t="str">
        <f>IF(N614="","",IF(B614="Acquisto",Q614+N(D614),MAX(0,Q614-N(D614))))</f>
        <v/>
      </c>
      <c r="T614" t="str">
        <f>IF(N614="","",IF(B614="Acquisto",R614+J614+N(G614),IF(Q614&lt;=0,0,R614*(1-MIN(1,N(D614)/Q614)))))</f>
        <v/>
      </c>
      <c r="U614" t="str">
        <f>IF(B614&lt;&gt;"Vendita","",J614-N(G614)-IF(Q614&lt;=0,0,R614*MIN(1,N(D614)/Q614)))</f>
        <v/>
      </c>
      <c r="V614" t="str">
        <f>IF(B614&lt;&gt;"Dividendo","",IF(Calcoli!$B$251=1,J614,L614))</f>
        <v/>
      </c>
      <c r="W614" t="str">
        <f>IF(AND(V614&lt;&gt;"",ISNUMBER(A614)),A614,"")</f>
        <v/>
      </c>
    </row>
    <row r="615">
      <c r="A615" s="134" t="n"/>
      <c r="B615" s="116" t="n"/>
      <c r="C615" s="116" t="n"/>
      <c r="D615" s="121" t="n"/>
      <c r="E615" s="120" t="n"/>
      <c r="F615" s="120" t="n"/>
      <c r="G615" s="120" t="n"/>
      <c r="H615" s="120" t="n"/>
      <c r="I615" s="117" t="n"/>
      <c r="J615" s="123" t="str">
        <f>IF(B615="","",IF(F615&lt;&gt;"",N(F615),ROUND(N(D615)*N(E615),2)))</f>
        <v/>
      </c>
      <c r="K615" s="123" t="str">
        <f>IF(B615="","",IF(H615&lt;&gt;"",N(H615),IF(B615="Dividendo",ROUND(J615*IFERROR(INDEX(Calcoli!$V$7:$V$21,MATCH(C615,Calcoli!$A$7:$A$21,0)),0.26),2),IF(B615="Vendita",ROUND(MAX(0,U615)*IFERROR(INDEX(Calcoli!$V$7:$V$21,MATCH(C615,Calcoli!$A$7:$A$21,0)),0.26),2),0))))</f>
        <v/>
      </c>
      <c r="L615" s="135" t="str">
        <f>IF(B615="","",IF(B615="Acquisto",-(J615+N(G615)),J615-N(G615)-K615))</f>
        <v/>
      </c>
      <c r="M615" s="127" t="str">
        <f>IF(B615="","",IF(ISNA(MATCH(C615,ETF!$A$7:$A$21,0)),"ETF?",IF(NOT(ISNUMBER(A615)),"Data?",IF(AND(B615&lt;&gt;"Dividendo",N(D615)&lt;=0),"Quote?",IF(AND(B615="Vendita",N(D615)&gt;N(Q615)+0.000001),"Quote?",IF(J615&lt;=0,"Importo?","✓"))))))</f>
        <v/>
      </c>
      <c r="N615" t="str">
        <f>IF(OR(B615="Acquisto",B615="Vendita"),COUNTIFS($C$5:C615,C615,$B$5:B615,"Acquisto")+COUNTIFS($C$5:C615,C615,$B$5:B615,"Vendita"),"")</f>
        <v/>
      </c>
      <c r="O615" t="str">
        <f>IF(N615="","",C615&amp;"|"&amp;N615)</f>
        <v/>
      </c>
      <c r="P615" t="str">
        <f>IF(N615="","",IF(N615=1,0,MATCH(C615&amp;"|"&amp;(N615-1),$O$5:$O$1004,0)))</f>
        <v/>
      </c>
      <c r="Q615" t="str">
        <f>IF(N615="","",IF(P615=0,SUMIFS(Calcoli!$C$7:$C$21,Calcoli!$A$7:$A$21,C615),INDEX($S$5:$S$1004,P615)))</f>
        <v/>
      </c>
      <c r="R615" t="str">
        <f>IF(N615="","",IF(P615=0,SUMIFS(Calcoli!$D$7:$D$21,Calcoli!$A$7:$A$21,C615),INDEX($T$5:$T$1004,P615)))</f>
        <v/>
      </c>
      <c r="S615" t="str">
        <f>IF(N615="","",IF(B615="Acquisto",Q615+N(D615),MAX(0,Q615-N(D615))))</f>
        <v/>
      </c>
      <c r="T615" t="str">
        <f>IF(N615="","",IF(B615="Acquisto",R615+J615+N(G615),IF(Q615&lt;=0,0,R615*(1-MIN(1,N(D615)/Q615)))))</f>
        <v/>
      </c>
      <c r="U615" t="str">
        <f>IF(B615&lt;&gt;"Vendita","",J615-N(G615)-IF(Q615&lt;=0,0,R615*MIN(1,N(D615)/Q615)))</f>
        <v/>
      </c>
      <c r="V615" t="str">
        <f>IF(B615&lt;&gt;"Dividendo","",IF(Calcoli!$B$251=1,J615,L615))</f>
        <v/>
      </c>
      <c r="W615" t="str">
        <f>IF(AND(V615&lt;&gt;"",ISNUMBER(A615)),A615,"")</f>
        <v/>
      </c>
    </row>
    <row r="616">
      <c r="A616" s="134" t="n"/>
      <c r="B616" s="116" t="n"/>
      <c r="C616" s="116" t="n"/>
      <c r="D616" s="121" t="n"/>
      <c r="E616" s="120" t="n"/>
      <c r="F616" s="120" t="n"/>
      <c r="G616" s="120" t="n"/>
      <c r="H616" s="120" t="n"/>
      <c r="I616" s="117" t="n"/>
      <c r="J616" s="123" t="str">
        <f>IF(B616="","",IF(F616&lt;&gt;"",N(F616),ROUND(N(D616)*N(E616),2)))</f>
        <v/>
      </c>
      <c r="K616" s="123" t="str">
        <f>IF(B616="","",IF(H616&lt;&gt;"",N(H616),IF(B616="Dividendo",ROUND(J616*IFERROR(INDEX(Calcoli!$V$7:$V$21,MATCH(C616,Calcoli!$A$7:$A$21,0)),0.26),2),IF(B616="Vendita",ROUND(MAX(0,U616)*IFERROR(INDEX(Calcoli!$V$7:$V$21,MATCH(C616,Calcoli!$A$7:$A$21,0)),0.26),2),0))))</f>
        <v/>
      </c>
      <c r="L616" s="135" t="str">
        <f>IF(B616="","",IF(B616="Acquisto",-(J616+N(G616)),J616-N(G616)-K616))</f>
        <v/>
      </c>
      <c r="M616" s="127" t="str">
        <f>IF(B616="","",IF(ISNA(MATCH(C616,ETF!$A$7:$A$21,0)),"ETF?",IF(NOT(ISNUMBER(A616)),"Data?",IF(AND(B616&lt;&gt;"Dividendo",N(D616)&lt;=0),"Quote?",IF(AND(B616="Vendita",N(D616)&gt;N(Q616)+0.000001),"Quote?",IF(J616&lt;=0,"Importo?","✓"))))))</f>
        <v/>
      </c>
      <c r="N616" t="str">
        <f>IF(OR(B616="Acquisto",B616="Vendita"),COUNTIFS($C$5:C616,C616,$B$5:B616,"Acquisto")+COUNTIFS($C$5:C616,C616,$B$5:B616,"Vendita"),"")</f>
        <v/>
      </c>
      <c r="O616" t="str">
        <f>IF(N616="","",C616&amp;"|"&amp;N616)</f>
        <v/>
      </c>
      <c r="P616" t="str">
        <f>IF(N616="","",IF(N616=1,0,MATCH(C616&amp;"|"&amp;(N616-1),$O$5:$O$1004,0)))</f>
        <v/>
      </c>
      <c r="Q616" t="str">
        <f>IF(N616="","",IF(P616=0,SUMIFS(Calcoli!$C$7:$C$21,Calcoli!$A$7:$A$21,C616),INDEX($S$5:$S$1004,P616)))</f>
        <v/>
      </c>
      <c r="R616" t="str">
        <f>IF(N616="","",IF(P616=0,SUMIFS(Calcoli!$D$7:$D$21,Calcoli!$A$7:$A$21,C616),INDEX($T$5:$T$1004,P616)))</f>
        <v/>
      </c>
      <c r="S616" t="str">
        <f>IF(N616="","",IF(B616="Acquisto",Q616+N(D616),MAX(0,Q616-N(D616))))</f>
        <v/>
      </c>
      <c r="T616" t="str">
        <f>IF(N616="","",IF(B616="Acquisto",R616+J616+N(G616),IF(Q616&lt;=0,0,R616*(1-MIN(1,N(D616)/Q616)))))</f>
        <v/>
      </c>
      <c r="U616" t="str">
        <f>IF(B616&lt;&gt;"Vendita","",J616-N(G616)-IF(Q616&lt;=0,0,R616*MIN(1,N(D616)/Q616)))</f>
        <v/>
      </c>
      <c r="V616" t="str">
        <f>IF(B616&lt;&gt;"Dividendo","",IF(Calcoli!$B$251=1,J616,L616))</f>
        <v/>
      </c>
      <c r="W616" t="str">
        <f>IF(AND(V616&lt;&gt;"",ISNUMBER(A616)),A616,"")</f>
        <v/>
      </c>
    </row>
    <row r="617">
      <c r="A617" s="134" t="n"/>
      <c r="B617" s="116" t="n"/>
      <c r="C617" s="116" t="n"/>
      <c r="D617" s="121" t="n"/>
      <c r="E617" s="120" t="n"/>
      <c r="F617" s="120" t="n"/>
      <c r="G617" s="120" t="n"/>
      <c r="H617" s="120" t="n"/>
      <c r="I617" s="117" t="n"/>
      <c r="J617" s="123" t="str">
        <f>IF(B617="","",IF(F617&lt;&gt;"",N(F617),ROUND(N(D617)*N(E617),2)))</f>
        <v/>
      </c>
      <c r="K617" s="123" t="str">
        <f>IF(B617="","",IF(H617&lt;&gt;"",N(H617),IF(B617="Dividendo",ROUND(J617*IFERROR(INDEX(Calcoli!$V$7:$V$21,MATCH(C617,Calcoli!$A$7:$A$21,0)),0.26),2),IF(B617="Vendita",ROUND(MAX(0,U617)*IFERROR(INDEX(Calcoli!$V$7:$V$21,MATCH(C617,Calcoli!$A$7:$A$21,0)),0.26),2),0))))</f>
        <v/>
      </c>
      <c r="L617" s="135" t="str">
        <f>IF(B617="","",IF(B617="Acquisto",-(J617+N(G617)),J617-N(G617)-K617))</f>
        <v/>
      </c>
      <c r="M617" s="127" t="str">
        <f>IF(B617="","",IF(ISNA(MATCH(C617,ETF!$A$7:$A$21,0)),"ETF?",IF(NOT(ISNUMBER(A617)),"Data?",IF(AND(B617&lt;&gt;"Dividendo",N(D617)&lt;=0),"Quote?",IF(AND(B617="Vendita",N(D617)&gt;N(Q617)+0.000001),"Quote?",IF(J617&lt;=0,"Importo?","✓"))))))</f>
        <v/>
      </c>
      <c r="N617" t="str">
        <f>IF(OR(B617="Acquisto",B617="Vendita"),COUNTIFS($C$5:C617,C617,$B$5:B617,"Acquisto")+COUNTIFS($C$5:C617,C617,$B$5:B617,"Vendita"),"")</f>
        <v/>
      </c>
      <c r="O617" t="str">
        <f>IF(N617="","",C617&amp;"|"&amp;N617)</f>
        <v/>
      </c>
      <c r="P617" t="str">
        <f>IF(N617="","",IF(N617=1,0,MATCH(C617&amp;"|"&amp;(N617-1),$O$5:$O$1004,0)))</f>
        <v/>
      </c>
      <c r="Q617" t="str">
        <f>IF(N617="","",IF(P617=0,SUMIFS(Calcoli!$C$7:$C$21,Calcoli!$A$7:$A$21,C617),INDEX($S$5:$S$1004,P617)))</f>
        <v/>
      </c>
      <c r="R617" t="str">
        <f>IF(N617="","",IF(P617=0,SUMIFS(Calcoli!$D$7:$D$21,Calcoli!$A$7:$A$21,C617),INDEX($T$5:$T$1004,P617)))</f>
        <v/>
      </c>
      <c r="S617" t="str">
        <f>IF(N617="","",IF(B617="Acquisto",Q617+N(D617),MAX(0,Q617-N(D617))))</f>
        <v/>
      </c>
      <c r="T617" t="str">
        <f>IF(N617="","",IF(B617="Acquisto",R617+J617+N(G617),IF(Q617&lt;=0,0,R617*(1-MIN(1,N(D617)/Q617)))))</f>
        <v/>
      </c>
      <c r="U617" t="str">
        <f>IF(B617&lt;&gt;"Vendita","",J617-N(G617)-IF(Q617&lt;=0,0,R617*MIN(1,N(D617)/Q617)))</f>
        <v/>
      </c>
      <c r="V617" t="str">
        <f>IF(B617&lt;&gt;"Dividendo","",IF(Calcoli!$B$251=1,J617,L617))</f>
        <v/>
      </c>
      <c r="W617" t="str">
        <f>IF(AND(V617&lt;&gt;"",ISNUMBER(A617)),A617,"")</f>
        <v/>
      </c>
    </row>
    <row r="618">
      <c r="A618" s="134" t="n"/>
      <c r="B618" s="116" t="n"/>
      <c r="C618" s="116" t="n"/>
      <c r="D618" s="121" t="n"/>
      <c r="E618" s="120" t="n"/>
      <c r="F618" s="120" t="n"/>
      <c r="G618" s="120" t="n"/>
      <c r="H618" s="120" t="n"/>
      <c r="I618" s="117" t="n"/>
      <c r="J618" s="123" t="str">
        <f>IF(B618="","",IF(F618&lt;&gt;"",N(F618),ROUND(N(D618)*N(E618),2)))</f>
        <v/>
      </c>
      <c r="K618" s="123" t="str">
        <f>IF(B618="","",IF(H618&lt;&gt;"",N(H618),IF(B618="Dividendo",ROUND(J618*IFERROR(INDEX(Calcoli!$V$7:$V$21,MATCH(C618,Calcoli!$A$7:$A$21,0)),0.26),2),IF(B618="Vendita",ROUND(MAX(0,U618)*IFERROR(INDEX(Calcoli!$V$7:$V$21,MATCH(C618,Calcoli!$A$7:$A$21,0)),0.26),2),0))))</f>
        <v/>
      </c>
      <c r="L618" s="135" t="str">
        <f>IF(B618="","",IF(B618="Acquisto",-(J618+N(G618)),J618-N(G618)-K618))</f>
        <v/>
      </c>
      <c r="M618" s="127" t="str">
        <f>IF(B618="","",IF(ISNA(MATCH(C618,ETF!$A$7:$A$21,0)),"ETF?",IF(NOT(ISNUMBER(A618)),"Data?",IF(AND(B618&lt;&gt;"Dividendo",N(D618)&lt;=0),"Quote?",IF(AND(B618="Vendita",N(D618)&gt;N(Q618)+0.000001),"Quote?",IF(J618&lt;=0,"Importo?","✓"))))))</f>
        <v/>
      </c>
      <c r="N618" t="str">
        <f>IF(OR(B618="Acquisto",B618="Vendita"),COUNTIFS($C$5:C618,C618,$B$5:B618,"Acquisto")+COUNTIFS($C$5:C618,C618,$B$5:B618,"Vendita"),"")</f>
        <v/>
      </c>
      <c r="O618" t="str">
        <f>IF(N618="","",C618&amp;"|"&amp;N618)</f>
        <v/>
      </c>
      <c r="P618" t="str">
        <f>IF(N618="","",IF(N618=1,0,MATCH(C618&amp;"|"&amp;(N618-1),$O$5:$O$1004,0)))</f>
        <v/>
      </c>
      <c r="Q618" t="str">
        <f>IF(N618="","",IF(P618=0,SUMIFS(Calcoli!$C$7:$C$21,Calcoli!$A$7:$A$21,C618),INDEX($S$5:$S$1004,P618)))</f>
        <v/>
      </c>
      <c r="R618" t="str">
        <f>IF(N618="","",IF(P618=0,SUMIFS(Calcoli!$D$7:$D$21,Calcoli!$A$7:$A$21,C618),INDEX($T$5:$T$1004,P618)))</f>
        <v/>
      </c>
      <c r="S618" t="str">
        <f>IF(N618="","",IF(B618="Acquisto",Q618+N(D618),MAX(0,Q618-N(D618))))</f>
        <v/>
      </c>
      <c r="T618" t="str">
        <f>IF(N618="","",IF(B618="Acquisto",R618+J618+N(G618),IF(Q618&lt;=0,0,R618*(1-MIN(1,N(D618)/Q618)))))</f>
        <v/>
      </c>
      <c r="U618" t="str">
        <f>IF(B618&lt;&gt;"Vendita","",J618-N(G618)-IF(Q618&lt;=0,0,R618*MIN(1,N(D618)/Q618)))</f>
        <v/>
      </c>
      <c r="V618" t="str">
        <f>IF(B618&lt;&gt;"Dividendo","",IF(Calcoli!$B$251=1,J618,L618))</f>
        <v/>
      </c>
      <c r="W618" t="str">
        <f>IF(AND(V618&lt;&gt;"",ISNUMBER(A618)),A618,"")</f>
        <v/>
      </c>
    </row>
    <row r="619">
      <c r="A619" s="134" t="n"/>
      <c r="B619" s="116" t="n"/>
      <c r="C619" s="116" t="n"/>
      <c r="D619" s="121" t="n"/>
      <c r="E619" s="120" t="n"/>
      <c r="F619" s="120" t="n"/>
      <c r="G619" s="120" t="n"/>
      <c r="H619" s="120" t="n"/>
      <c r="I619" s="117" t="n"/>
      <c r="J619" s="123" t="str">
        <f>IF(B619="","",IF(F619&lt;&gt;"",N(F619),ROUND(N(D619)*N(E619),2)))</f>
        <v/>
      </c>
      <c r="K619" s="123" t="str">
        <f>IF(B619="","",IF(H619&lt;&gt;"",N(H619),IF(B619="Dividendo",ROUND(J619*IFERROR(INDEX(Calcoli!$V$7:$V$21,MATCH(C619,Calcoli!$A$7:$A$21,0)),0.26),2),IF(B619="Vendita",ROUND(MAX(0,U619)*IFERROR(INDEX(Calcoli!$V$7:$V$21,MATCH(C619,Calcoli!$A$7:$A$21,0)),0.26),2),0))))</f>
        <v/>
      </c>
      <c r="L619" s="135" t="str">
        <f>IF(B619="","",IF(B619="Acquisto",-(J619+N(G619)),J619-N(G619)-K619))</f>
        <v/>
      </c>
      <c r="M619" s="127" t="str">
        <f>IF(B619="","",IF(ISNA(MATCH(C619,ETF!$A$7:$A$21,0)),"ETF?",IF(NOT(ISNUMBER(A619)),"Data?",IF(AND(B619&lt;&gt;"Dividendo",N(D619)&lt;=0),"Quote?",IF(AND(B619="Vendita",N(D619)&gt;N(Q619)+0.000001),"Quote?",IF(J619&lt;=0,"Importo?","✓"))))))</f>
        <v/>
      </c>
      <c r="N619" t="str">
        <f>IF(OR(B619="Acquisto",B619="Vendita"),COUNTIFS($C$5:C619,C619,$B$5:B619,"Acquisto")+COUNTIFS($C$5:C619,C619,$B$5:B619,"Vendita"),"")</f>
        <v/>
      </c>
      <c r="O619" t="str">
        <f>IF(N619="","",C619&amp;"|"&amp;N619)</f>
        <v/>
      </c>
      <c r="P619" t="str">
        <f>IF(N619="","",IF(N619=1,0,MATCH(C619&amp;"|"&amp;(N619-1),$O$5:$O$1004,0)))</f>
        <v/>
      </c>
      <c r="Q619" t="str">
        <f>IF(N619="","",IF(P619=0,SUMIFS(Calcoli!$C$7:$C$21,Calcoli!$A$7:$A$21,C619),INDEX($S$5:$S$1004,P619)))</f>
        <v/>
      </c>
      <c r="R619" t="str">
        <f>IF(N619="","",IF(P619=0,SUMIFS(Calcoli!$D$7:$D$21,Calcoli!$A$7:$A$21,C619),INDEX($T$5:$T$1004,P619)))</f>
        <v/>
      </c>
      <c r="S619" t="str">
        <f>IF(N619="","",IF(B619="Acquisto",Q619+N(D619),MAX(0,Q619-N(D619))))</f>
        <v/>
      </c>
      <c r="T619" t="str">
        <f>IF(N619="","",IF(B619="Acquisto",R619+J619+N(G619),IF(Q619&lt;=0,0,R619*(1-MIN(1,N(D619)/Q619)))))</f>
        <v/>
      </c>
      <c r="U619" t="str">
        <f>IF(B619&lt;&gt;"Vendita","",J619-N(G619)-IF(Q619&lt;=0,0,R619*MIN(1,N(D619)/Q619)))</f>
        <v/>
      </c>
      <c r="V619" t="str">
        <f>IF(B619&lt;&gt;"Dividendo","",IF(Calcoli!$B$251=1,J619,L619))</f>
        <v/>
      </c>
      <c r="W619" t="str">
        <f>IF(AND(V619&lt;&gt;"",ISNUMBER(A619)),A619,"")</f>
        <v/>
      </c>
    </row>
    <row r="620">
      <c r="A620" s="134" t="n"/>
      <c r="B620" s="116" t="n"/>
      <c r="C620" s="116" t="n"/>
      <c r="D620" s="121" t="n"/>
      <c r="E620" s="120" t="n"/>
      <c r="F620" s="120" t="n"/>
      <c r="G620" s="120" t="n"/>
      <c r="H620" s="120" t="n"/>
      <c r="I620" s="117" t="n"/>
      <c r="J620" s="123" t="str">
        <f>IF(B620="","",IF(F620&lt;&gt;"",N(F620),ROUND(N(D620)*N(E620),2)))</f>
        <v/>
      </c>
      <c r="K620" s="123" t="str">
        <f>IF(B620="","",IF(H620&lt;&gt;"",N(H620),IF(B620="Dividendo",ROUND(J620*IFERROR(INDEX(Calcoli!$V$7:$V$21,MATCH(C620,Calcoli!$A$7:$A$21,0)),0.26),2),IF(B620="Vendita",ROUND(MAX(0,U620)*IFERROR(INDEX(Calcoli!$V$7:$V$21,MATCH(C620,Calcoli!$A$7:$A$21,0)),0.26),2),0))))</f>
        <v/>
      </c>
      <c r="L620" s="135" t="str">
        <f>IF(B620="","",IF(B620="Acquisto",-(J620+N(G620)),J620-N(G620)-K620))</f>
        <v/>
      </c>
      <c r="M620" s="127" t="str">
        <f>IF(B620="","",IF(ISNA(MATCH(C620,ETF!$A$7:$A$21,0)),"ETF?",IF(NOT(ISNUMBER(A620)),"Data?",IF(AND(B620&lt;&gt;"Dividendo",N(D620)&lt;=0),"Quote?",IF(AND(B620="Vendita",N(D620)&gt;N(Q620)+0.000001),"Quote?",IF(J620&lt;=0,"Importo?","✓"))))))</f>
        <v/>
      </c>
      <c r="N620" t="str">
        <f>IF(OR(B620="Acquisto",B620="Vendita"),COUNTIFS($C$5:C620,C620,$B$5:B620,"Acquisto")+COUNTIFS($C$5:C620,C620,$B$5:B620,"Vendita"),"")</f>
        <v/>
      </c>
      <c r="O620" t="str">
        <f>IF(N620="","",C620&amp;"|"&amp;N620)</f>
        <v/>
      </c>
      <c r="P620" t="str">
        <f>IF(N620="","",IF(N620=1,0,MATCH(C620&amp;"|"&amp;(N620-1),$O$5:$O$1004,0)))</f>
        <v/>
      </c>
      <c r="Q620" t="str">
        <f>IF(N620="","",IF(P620=0,SUMIFS(Calcoli!$C$7:$C$21,Calcoli!$A$7:$A$21,C620),INDEX($S$5:$S$1004,P620)))</f>
        <v/>
      </c>
      <c r="R620" t="str">
        <f>IF(N620="","",IF(P620=0,SUMIFS(Calcoli!$D$7:$D$21,Calcoli!$A$7:$A$21,C620),INDEX($T$5:$T$1004,P620)))</f>
        <v/>
      </c>
      <c r="S620" t="str">
        <f>IF(N620="","",IF(B620="Acquisto",Q620+N(D620),MAX(0,Q620-N(D620))))</f>
        <v/>
      </c>
      <c r="T620" t="str">
        <f>IF(N620="","",IF(B620="Acquisto",R620+J620+N(G620),IF(Q620&lt;=0,0,R620*(1-MIN(1,N(D620)/Q620)))))</f>
        <v/>
      </c>
      <c r="U620" t="str">
        <f>IF(B620&lt;&gt;"Vendita","",J620-N(G620)-IF(Q620&lt;=0,0,R620*MIN(1,N(D620)/Q620)))</f>
        <v/>
      </c>
      <c r="V620" t="str">
        <f>IF(B620&lt;&gt;"Dividendo","",IF(Calcoli!$B$251=1,J620,L620))</f>
        <v/>
      </c>
      <c r="W620" t="str">
        <f>IF(AND(V620&lt;&gt;"",ISNUMBER(A620)),A620,"")</f>
        <v/>
      </c>
    </row>
    <row r="621">
      <c r="A621" s="134" t="n"/>
      <c r="B621" s="116" t="n"/>
      <c r="C621" s="116" t="n"/>
      <c r="D621" s="121" t="n"/>
      <c r="E621" s="120" t="n"/>
      <c r="F621" s="120" t="n"/>
      <c r="G621" s="120" t="n"/>
      <c r="H621" s="120" t="n"/>
      <c r="I621" s="117" t="n"/>
      <c r="J621" s="123" t="str">
        <f>IF(B621="","",IF(F621&lt;&gt;"",N(F621),ROUND(N(D621)*N(E621),2)))</f>
        <v/>
      </c>
      <c r="K621" s="123" t="str">
        <f>IF(B621="","",IF(H621&lt;&gt;"",N(H621),IF(B621="Dividendo",ROUND(J621*IFERROR(INDEX(Calcoli!$V$7:$V$21,MATCH(C621,Calcoli!$A$7:$A$21,0)),0.26),2),IF(B621="Vendita",ROUND(MAX(0,U621)*IFERROR(INDEX(Calcoli!$V$7:$V$21,MATCH(C621,Calcoli!$A$7:$A$21,0)),0.26),2),0))))</f>
        <v/>
      </c>
      <c r="L621" s="135" t="str">
        <f>IF(B621="","",IF(B621="Acquisto",-(J621+N(G621)),J621-N(G621)-K621))</f>
        <v/>
      </c>
      <c r="M621" s="127" t="str">
        <f>IF(B621="","",IF(ISNA(MATCH(C621,ETF!$A$7:$A$21,0)),"ETF?",IF(NOT(ISNUMBER(A621)),"Data?",IF(AND(B621&lt;&gt;"Dividendo",N(D621)&lt;=0),"Quote?",IF(AND(B621="Vendita",N(D621)&gt;N(Q621)+0.000001),"Quote?",IF(J621&lt;=0,"Importo?","✓"))))))</f>
        <v/>
      </c>
      <c r="N621" t="str">
        <f>IF(OR(B621="Acquisto",B621="Vendita"),COUNTIFS($C$5:C621,C621,$B$5:B621,"Acquisto")+COUNTIFS($C$5:C621,C621,$B$5:B621,"Vendita"),"")</f>
        <v/>
      </c>
      <c r="O621" t="str">
        <f>IF(N621="","",C621&amp;"|"&amp;N621)</f>
        <v/>
      </c>
      <c r="P621" t="str">
        <f>IF(N621="","",IF(N621=1,0,MATCH(C621&amp;"|"&amp;(N621-1),$O$5:$O$1004,0)))</f>
        <v/>
      </c>
      <c r="Q621" t="str">
        <f>IF(N621="","",IF(P621=0,SUMIFS(Calcoli!$C$7:$C$21,Calcoli!$A$7:$A$21,C621),INDEX($S$5:$S$1004,P621)))</f>
        <v/>
      </c>
      <c r="R621" t="str">
        <f>IF(N621="","",IF(P621=0,SUMIFS(Calcoli!$D$7:$D$21,Calcoli!$A$7:$A$21,C621),INDEX($T$5:$T$1004,P621)))</f>
        <v/>
      </c>
      <c r="S621" t="str">
        <f>IF(N621="","",IF(B621="Acquisto",Q621+N(D621),MAX(0,Q621-N(D621))))</f>
        <v/>
      </c>
      <c r="T621" t="str">
        <f>IF(N621="","",IF(B621="Acquisto",R621+J621+N(G621),IF(Q621&lt;=0,0,R621*(1-MIN(1,N(D621)/Q621)))))</f>
        <v/>
      </c>
      <c r="U621" t="str">
        <f>IF(B621&lt;&gt;"Vendita","",J621-N(G621)-IF(Q621&lt;=0,0,R621*MIN(1,N(D621)/Q621)))</f>
        <v/>
      </c>
      <c r="V621" t="str">
        <f>IF(B621&lt;&gt;"Dividendo","",IF(Calcoli!$B$251=1,J621,L621))</f>
        <v/>
      </c>
      <c r="W621" t="str">
        <f>IF(AND(V621&lt;&gt;"",ISNUMBER(A621)),A621,"")</f>
        <v/>
      </c>
    </row>
    <row r="622">
      <c r="A622" s="134" t="n"/>
      <c r="B622" s="116" t="n"/>
      <c r="C622" s="116" t="n"/>
      <c r="D622" s="121" t="n"/>
      <c r="E622" s="120" t="n"/>
      <c r="F622" s="120" t="n"/>
      <c r="G622" s="120" t="n"/>
      <c r="H622" s="120" t="n"/>
      <c r="I622" s="117" t="n"/>
      <c r="J622" s="123" t="str">
        <f>IF(B622="","",IF(F622&lt;&gt;"",N(F622),ROUND(N(D622)*N(E622),2)))</f>
        <v/>
      </c>
      <c r="K622" s="123" t="str">
        <f>IF(B622="","",IF(H622&lt;&gt;"",N(H622),IF(B622="Dividendo",ROUND(J622*IFERROR(INDEX(Calcoli!$V$7:$V$21,MATCH(C622,Calcoli!$A$7:$A$21,0)),0.26),2),IF(B622="Vendita",ROUND(MAX(0,U622)*IFERROR(INDEX(Calcoli!$V$7:$V$21,MATCH(C622,Calcoli!$A$7:$A$21,0)),0.26),2),0))))</f>
        <v/>
      </c>
      <c r="L622" s="135" t="str">
        <f>IF(B622="","",IF(B622="Acquisto",-(J622+N(G622)),J622-N(G622)-K622))</f>
        <v/>
      </c>
      <c r="M622" s="127" t="str">
        <f>IF(B622="","",IF(ISNA(MATCH(C622,ETF!$A$7:$A$21,0)),"ETF?",IF(NOT(ISNUMBER(A622)),"Data?",IF(AND(B622&lt;&gt;"Dividendo",N(D622)&lt;=0),"Quote?",IF(AND(B622="Vendita",N(D622)&gt;N(Q622)+0.000001),"Quote?",IF(J622&lt;=0,"Importo?","✓"))))))</f>
        <v/>
      </c>
      <c r="N622" t="str">
        <f>IF(OR(B622="Acquisto",B622="Vendita"),COUNTIFS($C$5:C622,C622,$B$5:B622,"Acquisto")+COUNTIFS($C$5:C622,C622,$B$5:B622,"Vendita"),"")</f>
        <v/>
      </c>
      <c r="O622" t="str">
        <f>IF(N622="","",C622&amp;"|"&amp;N622)</f>
        <v/>
      </c>
      <c r="P622" t="str">
        <f>IF(N622="","",IF(N622=1,0,MATCH(C622&amp;"|"&amp;(N622-1),$O$5:$O$1004,0)))</f>
        <v/>
      </c>
      <c r="Q622" t="str">
        <f>IF(N622="","",IF(P622=0,SUMIFS(Calcoli!$C$7:$C$21,Calcoli!$A$7:$A$21,C622),INDEX($S$5:$S$1004,P622)))</f>
        <v/>
      </c>
      <c r="R622" t="str">
        <f>IF(N622="","",IF(P622=0,SUMIFS(Calcoli!$D$7:$D$21,Calcoli!$A$7:$A$21,C622),INDEX($T$5:$T$1004,P622)))</f>
        <v/>
      </c>
      <c r="S622" t="str">
        <f>IF(N622="","",IF(B622="Acquisto",Q622+N(D622),MAX(0,Q622-N(D622))))</f>
        <v/>
      </c>
      <c r="T622" t="str">
        <f>IF(N622="","",IF(B622="Acquisto",R622+J622+N(G622),IF(Q622&lt;=0,0,R622*(1-MIN(1,N(D622)/Q622)))))</f>
        <v/>
      </c>
      <c r="U622" t="str">
        <f>IF(B622&lt;&gt;"Vendita","",J622-N(G622)-IF(Q622&lt;=0,0,R622*MIN(1,N(D622)/Q622)))</f>
        <v/>
      </c>
      <c r="V622" t="str">
        <f>IF(B622&lt;&gt;"Dividendo","",IF(Calcoli!$B$251=1,J622,L622))</f>
        <v/>
      </c>
      <c r="W622" t="str">
        <f>IF(AND(V622&lt;&gt;"",ISNUMBER(A622)),A622,"")</f>
        <v/>
      </c>
    </row>
    <row r="623">
      <c r="A623" s="134" t="n"/>
      <c r="B623" s="116" t="n"/>
      <c r="C623" s="116" t="n"/>
      <c r="D623" s="121" t="n"/>
      <c r="E623" s="120" t="n"/>
      <c r="F623" s="120" t="n"/>
      <c r="G623" s="120" t="n"/>
      <c r="H623" s="120" t="n"/>
      <c r="I623" s="117" t="n"/>
      <c r="J623" s="123" t="str">
        <f>IF(B623="","",IF(F623&lt;&gt;"",N(F623),ROUND(N(D623)*N(E623),2)))</f>
        <v/>
      </c>
      <c r="K623" s="123" t="str">
        <f>IF(B623="","",IF(H623&lt;&gt;"",N(H623),IF(B623="Dividendo",ROUND(J623*IFERROR(INDEX(Calcoli!$V$7:$V$21,MATCH(C623,Calcoli!$A$7:$A$21,0)),0.26),2),IF(B623="Vendita",ROUND(MAX(0,U623)*IFERROR(INDEX(Calcoli!$V$7:$V$21,MATCH(C623,Calcoli!$A$7:$A$21,0)),0.26),2),0))))</f>
        <v/>
      </c>
      <c r="L623" s="135" t="str">
        <f>IF(B623="","",IF(B623="Acquisto",-(J623+N(G623)),J623-N(G623)-K623))</f>
        <v/>
      </c>
      <c r="M623" s="127" t="str">
        <f>IF(B623="","",IF(ISNA(MATCH(C623,ETF!$A$7:$A$21,0)),"ETF?",IF(NOT(ISNUMBER(A623)),"Data?",IF(AND(B623&lt;&gt;"Dividendo",N(D623)&lt;=0),"Quote?",IF(AND(B623="Vendita",N(D623)&gt;N(Q623)+0.000001),"Quote?",IF(J623&lt;=0,"Importo?","✓"))))))</f>
        <v/>
      </c>
      <c r="N623" t="str">
        <f>IF(OR(B623="Acquisto",B623="Vendita"),COUNTIFS($C$5:C623,C623,$B$5:B623,"Acquisto")+COUNTIFS($C$5:C623,C623,$B$5:B623,"Vendita"),"")</f>
        <v/>
      </c>
      <c r="O623" t="str">
        <f>IF(N623="","",C623&amp;"|"&amp;N623)</f>
        <v/>
      </c>
      <c r="P623" t="str">
        <f>IF(N623="","",IF(N623=1,0,MATCH(C623&amp;"|"&amp;(N623-1),$O$5:$O$1004,0)))</f>
        <v/>
      </c>
      <c r="Q623" t="str">
        <f>IF(N623="","",IF(P623=0,SUMIFS(Calcoli!$C$7:$C$21,Calcoli!$A$7:$A$21,C623),INDEX($S$5:$S$1004,P623)))</f>
        <v/>
      </c>
      <c r="R623" t="str">
        <f>IF(N623="","",IF(P623=0,SUMIFS(Calcoli!$D$7:$D$21,Calcoli!$A$7:$A$21,C623),INDEX($T$5:$T$1004,P623)))</f>
        <v/>
      </c>
      <c r="S623" t="str">
        <f>IF(N623="","",IF(B623="Acquisto",Q623+N(D623),MAX(0,Q623-N(D623))))</f>
        <v/>
      </c>
      <c r="T623" t="str">
        <f>IF(N623="","",IF(B623="Acquisto",R623+J623+N(G623),IF(Q623&lt;=0,0,R623*(1-MIN(1,N(D623)/Q623)))))</f>
        <v/>
      </c>
      <c r="U623" t="str">
        <f>IF(B623&lt;&gt;"Vendita","",J623-N(G623)-IF(Q623&lt;=0,0,R623*MIN(1,N(D623)/Q623)))</f>
        <v/>
      </c>
      <c r="V623" t="str">
        <f>IF(B623&lt;&gt;"Dividendo","",IF(Calcoli!$B$251=1,J623,L623))</f>
        <v/>
      </c>
      <c r="W623" t="str">
        <f>IF(AND(V623&lt;&gt;"",ISNUMBER(A623)),A623,"")</f>
        <v/>
      </c>
    </row>
    <row r="624">
      <c r="A624" s="134" t="n"/>
      <c r="B624" s="116" t="n"/>
      <c r="C624" s="116" t="n"/>
      <c r="D624" s="121" t="n"/>
      <c r="E624" s="120" t="n"/>
      <c r="F624" s="120" t="n"/>
      <c r="G624" s="120" t="n"/>
      <c r="H624" s="120" t="n"/>
      <c r="I624" s="117" t="n"/>
      <c r="J624" s="123" t="str">
        <f>IF(B624="","",IF(F624&lt;&gt;"",N(F624),ROUND(N(D624)*N(E624),2)))</f>
        <v/>
      </c>
      <c r="K624" s="123" t="str">
        <f>IF(B624="","",IF(H624&lt;&gt;"",N(H624),IF(B624="Dividendo",ROUND(J624*IFERROR(INDEX(Calcoli!$V$7:$V$21,MATCH(C624,Calcoli!$A$7:$A$21,0)),0.26),2),IF(B624="Vendita",ROUND(MAX(0,U624)*IFERROR(INDEX(Calcoli!$V$7:$V$21,MATCH(C624,Calcoli!$A$7:$A$21,0)),0.26),2),0))))</f>
        <v/>
      </c>
      <c r="L624" s="135" t="str">
        <f>IF(B624="","",IF(B624="Acquisto",-(J624+N(G624)),J624-N(G624)-K624))</f>
        <v/>
      </c>
      <c r="M624" s="127" t="str">
        <f>IF(B624="","",IF(ISNA(MATCH(C624,ETF!$A$7:$A$21,0)),"ETF?",IF(NOT(ISNUMBER(A624)),"Data?",IF(AND(B624&lt;&gt;"Dividendo",N(D624)&lt;=0),"Quote?",IF(AND(B624="Vendita",N(D624)&gt;N(Q624)+0.000001),"Quote?",IF(J624&lt;=0,"Importo?","✓"))))))</f>
        <v/>
      </c>
      <c r="N624" t="str">
        <f>IF(OR(B624="Acquisto",B624="Vendita"),COUNTIFS($C$5:C624,C624,$B$5:B624,"Acquisto")+COUNTIFS($C$5:C624,C624,$B$5:B624,"Vendita"),"")</f>
        <v/>
      </c>
      <c r="O624" t="str">
        <f>IF(N624="","",C624&amp;"|"&amp;N624)</f>
        <v/>
      </c>
      <c r="P624" t="str">
        <f>IF(N624="","",IF(N624=1,0,MATCH(C624&amp;"|"&amp;(N624-1),$O$5:$O$1004,0)))</f>
        <v/>
      </c>
      <c r="Q624" t="str">
        <f>IF(N624="","",IF(P624=0,SUMIFS(Calcoli!$C$7:$C$21,Calcoli!$A$7:$A$21,C624),INDEX($S$5:$S$1004,P624)))</f>
        <v/>
      </c>
      <c r="R624" t="str">
        <f>IF(N624="","",IF(P624=0,SUMIFS(Calcoli!$D$7:$D$21,Calcoli!$A$7:$A$21,C624),INDEX($T$5:$T$1004,P624)))</f>
        <v/>
      </c>
      <c r="S624" t="str">
        <f>IF(N624="","",IF(B624="Acquisto",Q624+N(D624),MAX(0,Q624-N(D624))))</f>
        <v/>
      </c>
      <c r="T624" t="str">
        <f>IF(N624="","",IF(B624="Acquisto",R624+J624+N(G624),IF(Q624&lt;=0,0,R624*(1-MIN(1,N(D624)/Q624)))))</f>
        <v/>
      </c>
      <c r="U624" t="str">
        <f>IF(B624&lt;&gt;"Vendita","",J624-N(G624)-IF(Q624&lt;=0,0,R624*MIN(1,N(D624)/Q624)))</f>
        <v/>
      </c>
      <c r="V624" t="str">
        <f>IF(B624&lt;&gt;"Dividendo","",IF(Calcoli!$B$251=1,J624,L624))</f>
        <v/>
      </c>
      <c r="W624" t="str">
        <f>IF(AND(V624&lt;&gt;"",ISNUMBER(A624)),A624,"")</f>
        <v/>
      </c>
    </row>
    <row r="625">
      <c r="A625" s="134" t="n"/>
      <c r="B625" s="116" t="n"/>
      <c r="C625" s="116" t="n"/>
      <c r="D625" s="121" t="n"/>
      <c r="E625" s="120" t="n"/>
      <c r="F625" s="120" t="n"/>
      <c r="G625" s="120" t="n"/>
      <c r="H625" s="120" t="n"/>
      <c r="I625" s="117" t="n"/>
      <c r="J625" s="123" t="str">
        <f>IF(B625="","",IF(F625&lt;&gt;"",N(F625),ROUND(N(D625)*N(E625),2)))</f>
        <v/>
      </c>
      <c r="K625" s="123" t="str">
        <f>IF(B625="","",IF(H625&lt;&gt;"",N(H625),IF(B625="Dividendo",ROUND(J625*IFERROR(INDEX(Calcoli!$V$7:$V$21,MATCH(C625,Calcoli!$A$7:$A$21,0)),0.26),2),IF(B625="Vendita",ROUND(MAX(0,U625)*IFERROR(INDEX(Calcoli!$V$7:$V$21,MATCH(C625,Calcoli!$A$7:$A$21,0)),0.26),2),0))))</f>
        <v/>
      </c>
      <c r="L625" s="135" t="str">
        <f>IF(B625="","",IF(B625="Acquisto",-(J625+N(G625)),J625-N(G625)-K625))</f>
        <v/>
      </c>
      <c r="M625" s="127" t="str">
        <f>IF(B625="","",IF(ISNA(MATCH(C625,ETF!$A$7:$A$21,0)),"ETF?",IF(NOT(ISNUMBER(A625)),"Data?",IF(AND(B625&lt;&gt;"Dividendo",N(D625)&lt;=0),"Quote?",IF(AND(B625="Vendita",N(D625)&gt;N(Q625)+0.000001),"Quote?",IF(J625&lt;=0,"Importo?","✓"))))))</f>
        <v/>
      </c>
      <c r="N625" t="str">
        <f>IF(OR(B625="Acquisto",B625="Vendita"),COUNTIFS($C$5:C625,C625,$B$5:B625,"Acquisto")+COUNTIFS($C$5:C625,C625,$B$5:B625,"Vendita"),"")</f>
        <v/>
      </c>
      <c r="O625" t="str">
        <f>IF(N625="","",C625&amp;"|"&amp;N625)</f>
        <v/>
      </c>
      <c r="P625" t="str">
        <f>IF(N625="","",IF(N625=1,0,MATCH(C625&amp;"|"&amp;(N625-1),$O$5:$O$1004,0)))</f>
        <v/>
      </c>
      <c r="Q625" t="str">
        <f>IF(N625="","",IF(P625=0,SUMIFS(Calcoli!$C$7:$C$21,Calcoli!$A$7:$A$21,C625),INDEX($S$5:$S$1004,P625)))</f>
        <v/>
      </c>
      <c r="R625" t="str">
        <f>IF(N625="","",IF(P625=0,SUMIFS(Calcoli!$D$7:$D$21,Calcoli!$A$7:$A$21,C625),INDEX($T$5:$T$1004,P625)))</f>
        <v/>
      </c>
      <c r="S625" t="str">
        <f>IF(N625="","",IF(B625="Acquisto",Q625+N(D625),MAX(0,Q625-N(D625))))</f>
        <v/>
      </c>
      <c r="T625" t="str">
        <f>IF(N625="","",IF(B625="Acquisto",R625+J625+N(G625),IF(Q625&lt;=0,0,R625*(1-MIN(1,N(D625)/Q625)))))</f>
        <v/>
      </c>
      <c r="U625" t="str">
        <f>IF(B625&lt;&gt;"Vendita","",J625-N(G625)-IF(Q625&lt;=0,0,R625*MIN(1,N(D625)/Q625)))</f>
        <v/>
      </c>
      <c r="V625" t="str">
        <f>IF(B625&lt;&gt;"Dividendo","",IF(Calcoli!$B$251=1,J625,L625))</f>
        <v/>
      </c>
      <c r="W625" t="str">
        <f>IF(AND(V625&lt;&gt;"",ISNUMBER(A625)),A625,"")</f>
        <v/>
      </c>
    </row>
    <row r="626">
      <c r="A626" s="134" t="n"/>
      <c r="B626" s="116" t="n"/>
      <c r="C626" s="116" t="n"/>
      <c r="D626" s="121" t="n"/>
      <c r="E626" s="120" t="n"/>
      <c r="F626" s="120" t="n"/>
      <c r="G626" s="120" t="n"/>
      <c r="H626" s="120" t="n"/>
      <c r="I626" s="117" t="n"/>
      <c r="J626" s="123" t="str">
        <f>IF(B626="","",IF(F626&lt;&gt;"",N(F626),ROUND(N(D626)*N(E626),2)))</f>
        <v/>
      </c>
      <c r="K626" s="123" t="str">
        <f>IF(B626="","",IF(H626&lt;&gt;"",N(H626),IF(B626="Dividendo",ROUND(J626*IFERROR(INDEX(Calcoli!$V$7:$V$21,MATCH(C626,Calcoli!$A$7:$A$21,0)),0.26),2),IF(B626="Vendita",ROUND(MAX(0,U626)*IFERROR(INDEX(Calcoli!$V$7:$V$21,MATCH(C626,Calcoli!$A$7:$A$21,0)),0.26),2),0))))</f>
        <v/>
      </c>
      <c r="L626" s="135" t="str">
        <f>IF(B626="","",IF(B626="Acquisto",-(J626+N(G626)),J626-N(G626)-K626))</f>
        <v/>
      </c>
      <c r="M626" s="127" t="str">
        <f>IF(B626="","",IF(ISNA(MATCH(C626,ETF!$A$7:$A$21,0)),"ETF?",IF(NOT(ISNUMBER(A626)),"Data?",IF(AND(B626&lt;&gt;"Dividendo",N(D626)&lt;=0),"Quote?",IF(AND(B626="Vendita",N(D626)&gt;N(Q626)+0.000001),"Quote?",IF(J626&lt;=0,"Importo?","✓"))))))</f>
        <v/>
      </c>
      <c r="N626" t="str">
        <f>IF(OR(B626="Acquisto",B626="Vendita"),COUNTIFS($C$5:C626,C626,$B$5:B626,"Acquisto")+COUNTIFS($C$5:C626,C626,$B$5:B626,"Vendita"),"")</f>
        <v/>
      </c>
      <c r="O626" t="str">
        <f>IF(N626="","",C626&amp;"|"&amp;N626)</f>
        <v/>
      </c>
      <c r="P626" t="str">
        <f>IF(N626="","",IF(N626=1,0,MATCH(C626&amp;"|"&amp;(N626-1),$O$5:$O$1004,0)))</f>
        <v/>
      </c>
      <c r="Q626" t="str">
        <f>IF(N626="","",IF(P626=0,SUMIFS(Calcoli!$C$7:$C$21,Calcoli!$A$7:$A$21,C626),INDEX($S$5:$S$1004,P626)))</f>
        <v/>
      </c>
      <c r="R626" t="str">
        <f>IF(N626="","",IF(P626=0,SUMIFS(Calcoli!$D$7:$D$21,Calcoli!$A$7:$A$21,C626),INDEX($T$5:$T$1004,P626)))</f>
        <v/>
      </c>
      <c r="S626" t="str">
        <f>IF(N626="","",IF(B626="Acquisto",Q626+N(D626),MAX(0,Q626-N(D626))))</f>
        <v/>
      </c>
      <c r="T626" t="str">
        <f>IF(N626="","",IF(B626="Acquisto",R626+J626+N(G626),IF(Q626&lt;=0,0,R626*(1-MIN(1,N(D626)/Q626)))))</f>
        <v/>
      </c>
      <c r="U626" t="str">
        <f>IF(B626&lt;&gt;"Vendita","",J626-N(G626)-IF(Q626&lt;=0,0,R626*MIN(1,N(D626)/Q626)))</f>
        <v/>
      </c>
      <c r="V626" t="str">
        <f>IF(B626&lt;&gt;"Dividendo","",IF(Calcoli!$B$251=1,J626,L626))</f>
        <v/>
      </c>
      <c r="W626" t="str">
        <f>IF(AND(V626&lt;&gt;"",ISNUMBER(A626)),A626,"")</f>
        <v/>
      </c>
    </row>
    <row r="627">
      <c r="A627" s="134" t="n"/>
      <c r="B627" s="116" t="n"/>
      <c r="C627" s="116" t="n"/>
      <c r="D627" s="121" t="n"/>
      <c r="E627" s="120" t="n"/>
      <c r="F627" s="120" t="n"/>
      <c r="G627" s="120" t="n"/>
      <c r="H627" s="120" t="n"/>
      <c r="I627" s="117" t="n"/>
      <c r="J627" s="123" t="str">
        <f>IF(B627="","",IF(F627&lt;&gt;"",N(F627),ROUND(N(D627)*N(E627),2)))</f>
        <v/>
      </c>
      <c r="K627" s="123" t="str">
        <f>IF(B627="","",IF(H627&lt;&gt;"",N(H627),IF(B627="Dividendo",ROUND(J627*IFERROR(INDEX(Calcoli!$V$7:$V$21,MATCH(C627,Calcoli!$A$7:$A$21,0)),0.26),2),IF(B627="Vendita",ROUND(MAX(0,U627)*IFERROR(INDEX(Calcoli!$V$7:$V$21,MATCH(C627,Calcoli!$A$7:$A$21,0)),0.26),2),0))))</f>
        <v/>
      </c>
      <c r="L627" s="135" t="str">
        <f>IF(B627="","",IF(B627="Acquisto",-(J627+N(G627)),J627-N(G627)-K627))</f>
        <v/>
      </c>
      <c r="M627" s="127" t="str">
        <f>IF(B627="","",IF(ISNA(MATCH(C627,ETF!$A$7:$A$21,0)),"ETF?",IF(NOT(ISNUMBER(A627)),"Data?",IF(AND(B627&lt;&gt;"Dividendo",N(D627)&lt;=0),"Quote?",IF(AND(B627="Vendita",N(D627)&gt;N(Q627)+0.000001),"Quote?",IF(J627&lt;=0,"Importo?","✓"))))))</f>
        <v/>
      </c>
      <c r="N627" t="str">
        <f>IF(OR(B627="Acquisto",B627="Vendita"),COUNTIFS($C$5:C627,C627,$B$5:B627,"Acquisto")+COUNTIFS($C$5:C627,C627,$B$5:B627,"Vendita"),"")</f>
        <v/>
      </c>
      <c r="O627" t="str">
        <f>IF(N627="","",C627&amp;"|"&amp;N627)</f>
        <v/>
      </c>
      <c r="P627" t="str">
        <f>IF(N627="","",IF(N627=1,0,MATCH(C627&amp;"|"&amp;(N627-1),$O$5:$O$1004,0)))</f>
        <v/>
      </c>
      <c r="Q627" t="str">
        <f>IF(N627="","",IF(P627=0,SUMIFS(Calcoli!$C$7:$C$21,Calcoli!$A$7:$A$21,C627),INDEX($S$5:$S$1004,P627)))</f>
        <v/>
      </c>
      <c r="R627" t="str">
        <f>IF(N627="","",IF(P627=0,SUMIFS(Calcoli!$D$7:$D$21,Calcoli!$A$7:$A$21,C627),INDEX($T$5:$T$1004,P627)))</f>
        <v/>
      </c>
      <c r="S627" t="str">
        <f>IF(N627="","",IF(B627="Acquisto",Q627+N(D627),MAX(0,Q627-N(D627))))</f>
        <v/>
      </c>
      <c r="T627" t="str">
        <f>IF(N627="","",IF(B627="Acquisto",R627+J627+N(G627),IF(Q627&lt;=0,0,R627*(1-MIN(1,N(D627)/Q627)))))</f>
        <v/>
      </c>
      <c r="U627" t="str">
        <f>IF(B627&lt;&gt;"Vendita","",J627-N(G627)-IF(Q627&lt;=0,0,R627*MIN(1,N(D627)/Q627)))</f>
        <v/>
      </c>
      <c r="V627" t="str">
        <f>IF(B627&lt;&gt;"Dividendo","",IF(Calcoli!$B$251=1,J627,L627))</f>
        <v/>
      </c>
      <c r="W627" t="str">
        <f>IF(AND(V627&lt;&gt;"",ISNUMBER(A627)),A627,"")</f>
        <v/>
      </c>
    </row>
    <row r="628">
      <c r="A628" s="134" t="n"/>
      <c r="B628" s="116" t="n"/>
      <c r="C628" s="116" t="n"/>
      <c r="D628" s="121" t="n"/>
      <c r="E628" s="120" t="n"/>
      <c r="F628" s="120" t="n"/>
      <c r="G628" s="120" t="n"/>
      <c r="H628" s="120" t="n"/>
      <c r="I628" s="117" t="n"/>
      <c r="J628" s="123" t="str">
        <f>IF(B628="","",IF(F628&lt;&gt;"",N(F628),ROUND(N(D628)*N(E628),2)))</f>
        <v/>
      </c>
      <c r="K628" s="123" t="str">
        <f>IF(B628="","",IF(H628&lt;&gt;"",N(H628),IF(B628="Dividendo",ROUND(J628*IFERROR(INDEX(Calcoli!$V$7:$V$21,MATCH(C628,Calcoli!$A$7:$A$21,0)),0.26),2),IF(B628="Vendita",ROUND(MAX(0,U628)*IFERROR(INDEX(Calcoli!$V$7:$V$21,MATCH(C628,Calcoli!$A$7:$A$21,0)),0.26),2),0))))</f>
        <v/>
      </c>
      <c r="L628" s="135" t="str">
        <f>IF(B628="","",IF(B628="Acquisto",-(J628+N(G628)),J628-N(G628)-K628))</f>
        <v/>
      </c>
      <c r="M628" s="127" t="str">
        <f>IF(B628="","",IF(ISNA(MATCH(C628,ETF!$A$7:$A$21,0)),"ETF?",IF(NOT(ISNUMBER(A628)),"Data?",IF(AND(B628&lt;&gt;"Dividendo",N(D628)&lt;=0),"Quote?",IF(AND(B628="Vendita",N(D628)&gt;N(Q628)+0.000001),"Quote?",IF(J628&lt;=0,"Importo?","✓"))))))</f>
        <v/>
      </c>
      <c r="N628" t="str">
        <f>IF(OR(B628="Acquisto",B628="Vendita"),COUNTIFS($C$5:C628,C628,$B$5:B628,"Acquisto")+COUNTIFS($C$5:C628,C628,$B$5:B628,"Vendita"),"")</f>
        <v/>
      </c>
      <c r="O628" t="str">
        <f>IF(N628="","",C628&amp;"|"&amp;N628)</f>
        <v/>
      </c>
      <c r="P628" t="str">
        <f>IF(N628="","",IF(N628=1,0,MATCH(C628&amp;"|"&amp;(N628-1),$O$5:$O$1004,0)))</f>
        <v/>
      </c>
      <c r="Q628" t="str">
        <f>IF(N628="","",IF(P628=0,SUMIFS(Calcoli!$C$7:$C$21,Calcoli!$A$7:$A$21,C628),INDEX($S$5:$S$1004,P628)))</f>
        <v/>
      </c>
      <c r="R628" t="str">
        <f>IF(N628="","",IF(P628=0,SUMIFS(Calcoli!$D$7:$D$21,Calcoli!$A$7:$A$21,C628),INDEX($T$5:$T$1004,P628)))</f>
        <v/>
      </c>
      <c r="S628" t="str">
        <f>IF(N628="","",IF(B628="Acquisto",Q628+N(D628),MAX(0,Q628-N(D628))))</f>
        <v/>
      </c>
      <c r="T628" t="str">
        <f>IF(N628="","",IF(B628="Acquisto",R628+J628+N(G628),IF(Q628&lt;=0,0,R628*(1-MIN(1,N(D628)/Q628)))))</f>
        <v/>
      </c>
      <c r="U628" t="str">
        <f>IF(B628&lt;&gt;"Vendita","",J628-N(G628)-IF(Q628&lt;=0,0,R628*MIN(1,N(D628)/Q628)))</f>
        <v/>
      </c>
      <c r="V628" t="str">
        <f>IF(B628&lt;&gt;"Dividendo","",IF(Calcoli!$B$251=1,J628,L628))</f>
        <v/>
      </c>
      <c r="W628" t="str">
        <f>IF(AND(V628&lt;&gt;"",ISNUMBER(A628)),A628,"")</f>
        <v/>
      </c>
    </row>
    <row r="629">
      <c r="A629" s="134" t="n"/>
      <c r="B629" s="116" t="n"/>
      <c r="C629" s="116" t="n"/>
      <c r="D629" s="121" t="n"/>
      <c r="E629" s="120" t="n"/>
      <c r="F629" s="120" t="n"/>
      <c r="G629" s="120" t="n"/>
      <c r="H629" s="120" t="n"/>
      <c r="I629" s="117" t="n"/>
      <c r="J629" s="123" t="str">
        <f>IF(B629="","",IF(F629&lt;&gt;"",N(F629),ROUND(N(D629)*N(E629),2)))</f>
        <v/>
      </c>
      <c r="K629" s="123" t="str">
        <f>IF(B629="","",IF(H629&lt;&gt;"",N(H629),IF(B629="Dividendo",ROUND(J629*IFERROR(INDEX(Calcoli!$V$7:$V$21,MATCH(C629,Calcoli!$A$7:$A$21,0)),0.26),2),IF(B629="Vendita",ROUND(MAX(0,U629)*IFERROR(INDEX(Calcoli!$V$7:$V$21,MATCH(C629,Calcoli!$A$7:$A$21,0)),0.26),2),0))))</f>
        <v/>
      </c>
      <c r="L629" s="135" t="str">
        <f>IF(B629="","",IF(B629="Acquisto",-(J629+N(G629)),J629-N(G629)-K629))</f>
        <v/>
      </c>
      <c r="M629" s="127" t="str">
        <f>IF(B629="","",IF(ISNA(MATCH(C629,ETF!$A$7:$A$21,0)),"ETF?",IF(NOT(ISNUMBER(A629)),"Data?",IF(AND(B629&lt;&gt;"Dividendo",N(D629)&lt;=0),"Quote?",IF(AND(B629="Vendita",N(D629)&gt;N(Q629)+0.000001),"Quote?",IF(J629&lt;=0,"Importo?","✓"))))))</f>
        <v/>
      </c>
      <c r="N629" t="str">
        <f>IF(OR(B629="Acquisto",B629="Vendita"),COUNTIFS($C$5:C629,C629,$B$5:B629,"Acquisto")+COUNTIFS($C$5:C629,C629,$B$5:B629,"Vendita"),"")</f>
        <v/>
      </c>
      <c r="O629" t="str">
        <f>IF(N629="","",C629&amp;"|"&amp;N629)</f>
        <v/>
      </c>
      <c r="P629" t="str">
        <f>IF(N629="","",IF(N629=1,0,MATCH(C629&amp;"|"&amp;(N629-1),$O$5:$O$1004,0)))</f>
        <v/>
      </c>
      <c r="Q629" t="str">
        <f>IF(N629="","",IF(P629=0,SUMIFS(Calcoli!$C$7:$C$21,Calcoli!$A$7:$A$21,C629),INDEX($S$5:$S$1004,P629)))</f>
        <v/>
      </c>
      <c r="R629" t="str">
        <f>IF(N629="","",IF(P629=0,SUMIFS(Calcoli!$D$7:$D$21,Calcoli!$A$7:$A$21,C629),INDEX($T$5:$T$1004,P629)))</f>
        <v/>
      </c>
      <c r="S629" t="str">
        <f>IF(N629="","",IF(B629="Acquisto",Q629+N(D629),MAX(0,Q629-N(D629))))</f>
        <v/>
      </c>
      <c r="T629" t="str">
        <f>IF(N629="","",IF(B629="Acquisto",R629+J629+N(G629),IF(Q629&lt;=0,0,R629*(1-MIN(1,N(D629)/Q629)))))</f>
        <v/>
      </c>
      <c r="U629" t="str">
        <f>IF(B629&lt;&gt;"Vendita","",J629-N(G629)-IF(Q629&lt;=0,0,R629*MIN(1,N(D629)/Q629)))</f>
        <v/>
      </c>
      <c r="V629" t="str">
        <f>IF(B629&lt;&gt;"Dividendo","",IF(Calcoli!$B$251=1,J629,L629))</f>
        <v/>
      </c>
      <c r="W629" t="str">
        <f>IF(AND(V629&lt;&gt;"",ISNUMBER(A629)),A629,"")</f>
        <v/>
      </c>
    </row>
    <row r="630">
      <c r="A630" s="134" t="n"/>
      <c r="B630" s="116" t="n"/>
      <c r="C630" s="116" t="n"/>
      <c r="D630" s="121" t="n"/>
      <c r="E630" s="120" t="n"/>
      <c r="F630" s="120" t="n"/>
      <c r="G630" s="120" t="n"/>
      <c r="H630" s="120" t="n"/>
      <c r="I630" s="117" t="n"/>
      <c r="J630" s="123" t="str">
        <f>IF(B630="","",IF(F630&lt;&gt;"",N(F630),ROUND(N(D630)*N(E630),2)))</f>
        <v/>
      </c>
      <c r="K630" s="123" t="str">
        <f>IF(B630="","",IF(H630&lt;&gt;"",N(H630),IF(B630="Dividendo",ROUND(J630*IFERROR(INDEX(Calcoli!$V$7:$V$21,MATCH(C630,Calcoli!$A$7:$A$21,0)),0.26),2),IF(B630="Vendita",ROUND(MAX(0,U630)*IFERROR(INDEX(Calcoli!$V$7:$V$21,MATCH(C630,Calcoli!$A$7:$A$21,0)),0.26),2),0))))</f>
        <v/>
      </c>
      <c r="L630" s="135" t="str">
        <f>IF(B630="","",IF(B630="Acquisto",-(J630+N(G630)),J630-N(G630)-K630))</f>
        <v/>
      </c>
      <c r="M630" s="127" t="str">
        <f>IF(B630="","",IF(ISNA(MATCH(C630,ETF!$A$7:$A$21,0)),"ETF?",IF(NOT(ISNUMBER(A630)),"Data?",IF(AND(B630&lt;&gt;"Dividendo",N(D630)&lt;=0),"Quote?",IF(AND(B630="Vendita",N(D630)&gt;N(Q630)+0.000001),"Quote?",IF(J630&lt;=0,"Importo?","✓"))))))</f>
        <v/>
      </c>
      <c r="N630" t="str">
        <f>IF(OR(B630="Acquisto",B630="Vendita"),COUNTIFS($C$5:C630,C630,$B$5:B630,"Acquisto")+COUNTIFS($C$5:C630,C630,$B$5:B630,"Vendita"),"")</f>
        <v/>
      </c>
      <c r="O630" t="str">
        <f>IF(N630="","",C630&amp;"|"&amp;N630)</f>
        <v/>
      </c>
      <c r="P630" t="str">
        <f>IF(N630="","",IF(N630=1,0,MATCH(C630&amp;"|"&amp;(N630-1),$O$5:$O$1004,0)))</f>
        <v/>
      </c>
      <c r="Q630" t="str">
        <f>IF(N630="","",IF(P630=0,SUMIFS(Calcoli!$C$7:$C$21,Calcoli!$A$7:$A$21,C630),INDEX($S$5:$S$1004,P630)))</f>
        <v/>
      </c>
      <c r="R630" t="str">
        <f>IF(N630="","",IF(P630=0,SUMIFS(Calcoli!$D$7:$D$21,Calcoli!$A$7:$A$21,C630),INDEX($T$5:$T$1004,P630)))</f>
        <v/>
      </c>
      <c r="S630" t="str">
        <f>IF(N630="","",IF(B630="Acquisto",Q630+N(D630),MAX(0,Q630-N(D630))))</f>
        <v/>
      </c>
      <c r="T630" t="str">
        <f>IF(N630="","",IF(B630="Acquisto",R630+J630+N(G630),IF(Q630&lt;=0,0,R630*(1-MIN(1,N(D630)/Q630)))))</f>
        <v/>
      </c>
      <c r="U630" t="str">
        <f>IF(B630&lt;&gt;"Vendita","",J630-N(G630)-IF(Q630&lt;=0,0,R630*MIN(1,N(D630)/Q630)))</f>
        <v/>
      </c>
      <c r="V630" t="str">
        <f>IF(B630&lt;&gt;"Dividendo","",IF(Calcoli!$B$251=1,J630,L630))</f>
        <v/>
      </c>
      <c r="W630" t="str">
        <f>IF(AND(V630&lt;&gt;"",ISNUMBER(A630)),A630,"")</f>
        <v/>
      </c>
    </row>
    <row r="631">
      <c r="A631" s="134" t="n"/>
      <c r="B631" s="116" t="n"/>
      <c r="C631" s="116" t="n"/>
      <c r="D631" s="121" t="n"/>
      <c r="E631" s="120" t="n"/>
      <c r="F631" s="120" t="n"/>
      <c r="G631" s="120" t="n"/>
      <c r="H631" s="120" t="n"/>
      <c r="I631" s="117" t="n"/>
      <c r="J631" s="123" t="str">
        <f>IF(B631="","",IF(F631&lt;&gt;"",N(F631),ROUND(N(D631)*N(E631),2)))</f>
        <v/>
      </c>
      <c r="K631" s="123" t="str">
        <f>IF(B631="","",IF(H631&lt;&gt;"",N(H631),IF(B631="Dividendo",ROUND(J631*IFERROR(INDEX(Calcoli!$V$7:$V$21,MATCH(C631,Calcoli!$A$7:$A$21,0)),0.26),2),IF(B631="Vendita",ROUND(MAX(0,U631)*IFERROR(INDEX(Calcoli!$V$7:$V$21,MATCH(C631,Calcoli!$A$7:$A$21,0)),0.26),2),0))))</f>
        <v/>
      </c>
      <c r="L631" s="135" t="str">
        <f>IF(B631="","",IF(B631="Acquisto",-(J631+N(G631)),J631-N(G631)-K631))</f>
        <v/>
      </c>
      <c r="M631" s="127" t="str">
        <f>IF(B631="","",IF(ISNA(MATCH(C631,ETF!$A$7:$A$21,0)),"ETF?",IF(NOT(ISNUMBER(A631)),"Data?",IF(AND(B631&lt;&gt;"Dividendo",N(D631)&lt;=0),"Quote?",IF(AND(B631="Vendita",N(D631)&gt;N(Q631)+0.000001),"Quote?",IF(J631&lt;=0,"Importo?","✓"))))))</f>
        <v/>
      </c>
      <c r="N631" t="str">
        <f>IF(OR(B631="Acquisto",B631="Vendita"),COUNTIFS($C$5:C631,C631,$B$5:B631,"Acquisto")+COUNTIFS($C$5:C631,C631,$B$5:B631,"Vendita"),"")</f>
        <v/>
      </c>
      <c r="O631" t="str">
        <f>IF(N631="","",C631&amp;"|"&amp;N631)</f>
        <v/>
      </c>
      <c r="P631" t="str">
        <f>IF(N631="","",IF(N631=1,0,MATCH(C631&amp;"|"&amp;(N631-1),$O$5:$O$1004,0)))</f>
        <v/>
      </c>
      <c r="Q631" t="str">
        <f>IF(N631="","",IF(P631=0,SUMIFS(Calcoli!$C$7:$C$21,Calcoli!$A$7:$A$21,C631),INDEX($S$5:$S$1004,P631)))</f>
        <v/>
      </c>
      <c r="R631" t="str">
        <f>IF(N631="","",IF(P631=0,SUMIFS(Calcoli!$D$7:$D$21,Calcoli!$A$7:$A$21,C631),INDEX($T$5:$T$1004,P631)))</f>
        <v/>
      </c>
      <c r="S631" t="str">
        <f>IF(N631="","",IF(B631="Acquisto",Q631+N(D631),MAX(0,Q631-N(D631))))</f>
        <v/>
      </c>
      <c r="T631" t="str">
        <f>IF(N631="","",IF(B631="Acquisto",R631+J631+N(G631),IF(Q631&lt;=0,0,R631*(1-MIN(1,N(D631)/Q631)))))</f>
        <v/>
      </c>
      <c r="U631" t="str">
        <f>IF(B631&lt;&gt;"Vendita","",J631-N(G631)-IF(Q631&lt;=0,0,R631*MIN(1,N(D631)/Q631)))</f>
        <v/>
      </c>
      <c r="V631" t="str">
        <f>IF(B631&lt;&gt;"Dividendo","",IF(Calcoli!$B$251=1,J631,L631))</f>
        <v/>
      </c>
      <c r="W631" t="str">
        <f>IF(AND(V631&lt;&gt;"",ISNUMBER(A631)),A631,"")</f>
        <v/>
      </c>
    </row>
    <row r="632">
      <c r="A632" s="134" t="n"/>
      <c r="B632" s="116" t="n"/>
      <c r="C632" s="116" t="n"/>
      <c r="D632" s="121" t="n"/>
      <c r="E632" s="120" t="n"/>
      <c r="F632" s="120" t="n"/>
      <c r="G632" s="120" t="n"/>
      <c r="H632" s="120" t="n"/>
      <c r="I632" s="117" t="n"/>
      <c r="J632" s="123" t="str">
        <f>IF(B632="","",IF(F632&lt;&gt;"",N(F632),ROUND(N(D632)*N(E632),2)))</f>
        <v/>
      </c>
      <c r="K632" s="123" t="str">
        <f>IF(B632="","",IF(H632&lt;&gt;"",N(H632),IF(B632="Dividendo",ROUND(J632*IFERROR(INDEX(Calcoli!$V$7:$V$21,MATCH(C632,Calcoli!$A$7:$A$21,0)),0.26),2),IF(B632="Vendita",ROUND(MAX(0,U632)*IFERROR(INDEX(Calcoli!$V$7:$V$21,MATCH(C632,Calcoli!$A$7:$A$21,0)),0.26),2),0))))</f>
        <v/>
      </c>
      <c r="L632" s="135" t="str">
        <f>IF(B632="","",IF(B632="Acquisto",-(J632+N(G632)),J632-N(G632)-K632))</f>
        <v/>
      </c>
      <c r="M632" s="127" t="str">
        <f>IF(B632="","",IF(ISNA(MATCH(C632,ETF!$A$7:$A$21,0)),"ETF?",IF(NOT(ISNUMBER(A632)),"Data?",IF(AND(B632&lt;&gt;"Dividendo",N(D632)&lt;=0),"Quote?",IF(AND(B632="Vendita",N(D632)&gt;N(Q632)+0.000001),"Quote?",IF(J632&lt;=0,"Importo?","✓"))))))</f>
        <v/>
      </c>
      <c r="N632" t="str">
        <f>IF(OR(B632="Acquisto",B632="Vendita"),COUNTIFS($C$5:C632,C632,$B$5:B632,"Acquisto")+COUNTIFS($C$5:C632,C632,$B$5:B632,"Vendita"),"")</f>
        <v/>
      </c>
      <c r="O632" t="str">
        <f>IF(N632="","",C632&amp;"|"&amp;N632)</f>
        <v/>
      </c>
      <c r="P632" t="str">
        <f>IF(N632="","",IF(N632=1,0,MATCH(C632&amp;"|"&amp;(N632-1),$O$5:$O$1004,0)))</f>
        <v/>
      </c>
      <c r="Q632" t="str">
        <f>IF(N632="","",IF(P632=0,SUMIFS(Calcoli!$C$7:$C$21,Calcoli!$A$7:$A$21,C632),INDEX($S$5:$S$1004,P632)))</f>
        <v/>
      </c>
      <c r="R632" t="str">
        <f>IF(N632="","",IF(P632=0,SUMIFS(Calcoli!$D$7:$D$21,Calcoli!$A$7:$A$21,C632),INDEX($T$5:$T$1004,P632)))</f>
        <v/>
      </c>
      <c r="S632" t="str">
        <f>IF(N632="","",IF(B632="Acquisto",Q632+N(D632),MAX(0,Q632-N(D632))))</f>
        <v/>
      </c>
      <c r="T632" t="str">
        <f>IF(N632="","",IF(B632="Acquisto",R632+J632+N(G632),IF(Q632&lt;=0,0,R632*(1-MIN(1,N(D632)/Q632)))))</f>
        <v/>
      </c>
      <c r="U632" t="str">
        <f>IF(B632&lt;&gt;"Vendita","",J632-N(G632)-IF(Q632&lt;=0,0,R632*MIN(1,N(D632)/Q632)))</f>
        <v/>
      </c>
      <c r="V632" t="str">
        <f>IF(B632&lt;&gt;"Dividendo","",IF(Calcoli!$B$251=1,J632,L632))</f>
        <v/>
      </c>
      <c r="W632" t="str">
        <f>IF(AND(V632&lt;&gt;"",ISNUMBER(A632)),A632,"")</f>
        <v/>
      </c>
    </row>
    <row r="633">
      <c r="A633" s="134" t="n"/>
      <c r="B633" s="116" t="n"/>
      <c r="C633" s="116" t="n"/>
      <c r="D633" s="121" t="n"/>
      <c r="E633" s="120" t="n"/>
      <c r="F633" s="120" t="n"/>
      <c r="G633" s="120" t="n"/>
      <c r="H633" s="120" t="n"/>
      <c r="I633" s="117" t="n"/>
      <c r="J633" s="123" t="str">
        <f>IF(B633="","",IF(F633&lt;&gt;"",N(F633),ROUND(N(D633)*N(E633),2)))</f>
        <v/>
      </c>
      <c r="K633" s="123" t="str">
        <f>IF(B633="","",IF(H633&lt;&gt;"",N(H633),IF(B633="Dividendo",ROUND(J633*IFERROR(INDEX(Calcoli!$V$7:$V$21,MATCH(C633,Calcoli!$A$7:$A$21,0)),0.26),2),IF(B633="Vendita",ROUND(MAX(0,U633)*IFERROR(INDEX(Calcoli!$V$7:$V$21,MATCH(C633,Calcoli!$A$7:$A$21,0)),0.26),2),0))))</f>
        <v/>
      </c>
      <c r="L633" s="135" t="str">
        <f>IF(B633="","",IF(B633="Acquisto",-(J633+N(G633)),J633-N(G633)-K633))</f>
        <v/>
      </c>
      <c r="M633" s="127" t="str">
        <f>IF(B633="","",IF(ISNA(MATCH(C633,ETF!$A$7:$A$21,0)),"ETF?",IF(NOT(ISNUMBER(A633)),"Data?",IF(AND(B633&lt;&gt;"Dividendo",N(D633)&lt;=0),"Quote?",IF(AND(B633="Vendita",N(D633)&gt;N(Q633)+0.000001),"Quote?",IF(J633&lt;=0,"Importo?","✓"))))))</f>
        <v/>
      </c>
      <c r="N633" t="str">
        <f>IF(OR(B633="Acquisto",B633="Vendita"),COUNTIFS($C$5:C633,C633,$B$5:B633,"Acquisto")+COUNTIFS($C$5:C633,C633,$B$5:B633,"Vendita"),"")</f>
        <v/>
      </c>
      <c r="O633" t="str">
        <f>IF(N633="","",C633&amp;"|"&amp;N633)</f>
        <v/>
      </c>
      <c r="P633" t="str">
        <f>IF(N633="","",IF(N633=1,0,MATCH(C633&amp;"|"&amp;(N633-1),$O$5:$O$1004,0)))</f>
        <v/>
      </c>
      <c r="Q633" t="str">
        <f>IF(N633="","",IF(P633=0,SUMIFS(Calcoli!$C$7:$C$21,Calcoli!$A$7:$A$21,C633),INDEX($S$5:$S$1004,P633)))</f>
        <v/>
      </c>
      <c r="R633" t="str">
        <f>IF(N633="","",IF(P633=0,SUMIFS(Calcoli!$D$7:$D$21,Calcoli!$A$7:$A$21,C633),INDEX($T$5:$T$1004,P633)))</f>
        <v/>
      </c>
      <c r="S633" t="str">
        <f>IF(N633="","",IF(B633="Acquisto",Q633+N(D633),MAX(0,Q633-N(D633))))</f>
        <v/>
      </c>
      <c r="T633" t="str">
        <f>IF(N633="","",IF(B633="Acquisto",R633+J633+N(G633),IF(Q633&lt;=0,0,R633*(1-MIN(1,N(D633)/Q633)))))</f>
        <v/>
      </c>
      <c r="U633" t="str">
        <f>IF(B633&lt;&gt;"Vendita","",J633-N(G633)-IF(Q633&lt;=0,0,R633*MIN(1,N(D633)/Q633)))</f>
        <v/>
      </c>
      <c r="V633" t="str">
        <f>IF(B633&lt;&gt;"Dividendo","",IF(Calcoli!$B$251=1,J633,L633))</f>
        <v/>
      </c>
      <c r="W633" t="str">
        <f>IF(AND(V633&lt;&gt;"",ISNUMBER(A633)),A633,"")</f>
        <v/>
      </c>
    </row>
    <row r="634">
      <c r="A634" s="134" t="n"/>
      <c r="B634" s="116" t="n"/>
      <c r="C634" s="116" t="n"/>
      <c r="D634" s="121" t="n"/>
      <c r="E634" s="120" t="n"/>
      <c r="F634" s="120" t="n"/>
      <c r="G634" s="120" t="n"/>
      <c r="H634" s="120" t="n"/>
      <c r="I634" s="117" t="n"/>
      <c r="J634" s="123" t="str">
        <f>IF(B634="","",IF(F634&lt;&gt;"",N(F634),ROUND(N(D634)*N(E634),2)))</f>
        <v/>
      </c>
      <c r="K634" s="123" t="str">
        <f>IF(B634="","",IF(H634&lt;&gt;"",N(H634),IF(B634="Dividendo",ROUND(J634*IFERROR(INDEX(Calcoli!$V$7:$V$21,MATCH(C634,Calcoli!$A$7:$A$21,0)),0.26),2),IF(B634="Vendita",ROUND(MAX(0,U634)*IFERROR(INDEX(Calcoli!$V$7:$V$21,MATCH(C634,Calcoli!$A$7:$A$21,0)),0.26),2),0))))</f>
        <v/>
      </c>
      <c r="L634" s="135" t="str">
        <f>IF(B634="","",IF(B634="Acquisto",-(J634+N(G634)),J634-N(G634)-K634))</f>
        <v/>
      </c>
      <c r="M634" s="127" t="str">
        <f>IF(B634="","",IF(ISNA(MATCH(C634,ETF!$A$7:$A$21,0)),"ETF?",IF(NOT(ISNUMBER(A634)),"Data?",IF(AND(B634&lt;&gt;"Dividendo",N(D634)&lt;=0),"Quote?",IF(AND(B634="Vendita",N(D634)&gt;N(Q634)+0.000001),"Quote?",IF(J634&lt;=0,"Importo?","✓"))))))</f>
        <v/>
      </c>
      <c r="N634" t="str">
        <f>IF(OR(B634="Acquisto",B634="Vendita"),COUNTIFS($C$5:C634,C634,$B$5:B634,"Acquisto")+COUNTIFS($C$5:C634,C634,$B$5:B634,"Vendita"),"")</f>
        <v/>
      </c>
      <c r="O634" t="str">
        <f>IF(N634="","",C634&amp;"|"&amp;N634)</f>
        <v/>
      </c>
      <c r="P634" t="str">
        <f>IF(N634="","",IF(N634=1,0,MATCH(C634&amp;"|"&amp;(N634-1),$O$5:$O$1004,0)))</f>
        <v/>
      </c>
      <c r="Q634" t="str">
        <f>IF(N634="","",IF(P634=0,SUMIFS(Calcoli!$C$7:$C$21,Calcoli!$A$7:$A$21,C634),INDEX($S$5:$S$1004,P634)))</f>
        <v/>
      </c>
      <c r="R634" t="str">
        <f>IF(N634="","",IF(P634=0,SUMIFS(Calcoli!$D$7:$D$21,Calcoli!$A$7:$A$21,C634),INDEX($T$5:$T$1004,P634)))</f>
        <v/>
      </c>
      <c r="S634" t="str">
        <f>IF(N634="","",IF(B634="Acquisto",Q634+N(D634),MAX(0,Q634-N(D634))))</f>
        <v/>
      </c>
      <c r="T634" t="str">
        <f>IF(N634="","",IF(B634="Acquisto",R634+J634+N(G634),IF(Q634&lt;=0,0,R634*(1-MIN(1,N(D634)/Q634)))))</f>
        <v/>
      </c>
      <c r="U634" t="str">
        <f>IF(B634&lt;&gt;"Vendita","",J634-N(G634)-IF(Q634&lt;=0,0,R634*MIN(1,N(D634)/Q634)))</f>
        <v/>
      </c>
      <c r="V634" t="str">
        <f>IF(B634&lt;&gt;"Dividendo","",IF(Calcoli!$B$251=1,J634,L634))</f>
        <v/>
      </c>
      <c r="W634" t="str">
        <f>IF(AND(V634&lt;&gt;"",ISNUMBER(A634)),A634,"")</f>
        <v/>
      </c>
    </row>
    <row r="635">
      <c r="A635" s="134" t="n"/>
      <c r="B635" s="116" t="n"/>
      <c r="C635" s="116" t="n"/>
      <c r="D635" s="121" t="n"/>
      <c r="E635" s="120" t="n"/>
      <c r="F635" s="120" t="n"/>
      <c r="G635" s="120" t="n"/>
      <c r="H635" s="120" t="n"/>
      <c r="I635" s="117" t="n"/>
      <c r="J635" s="123" t="str">
        <f>IF(B635="","",IF(F635&lt;&gt;"",N(F635),ROUND(N(D635)*N(E635),2)))</f>
        <v/>
      </c>
      <c r="K635" s="123" t="str">
        <f>IF(B635="","",IF(H635&lt;&gt;"",N(H635),IF(B635="Dividendo",ROUND(J635*IFERROR(INDEX(Calcoli!$V$7:$V$21,MATCH(C635,Calcoli!$A$7:$A$21,0)),0.26),2),IF(B635="Vendita",ROUND(MAX(0,U635)*IFERROR(INDEX(Calcoli!$V$7:$V$21,MATCH(C635,Calcoli!$A$7:$A$21,0)),0.26),2),0))))</f>
        <v/>
      </c>
      <c r="L635" s="135" t="str">
        <f>IF(B635="","",IF(B635="Acquisto",-(J635+N(G635)),J635-N(G635)-K635))</f>
        <v/>
      </c>
      <c r="M635" s="127" t="str">
        <f>IF(B635="","",IF(ISNA(MATCH(C635,ETF!$A$7:$A$21,0)),"ETF?",IF(NOT(ISNUMBER(A635)),"Data?",IF(AND(B635&lt;&gt;"Dividendo",N(D635)&lt;=0),"Quote?",IF(AND(B635="Vendita",N(D635)&gt;N(Q635)+0.000001),"Quote?",IF(J635&lt;=0,"Importo?","✓"))))))</f>
        <v/>
      </c>
      <c r="N635" t="str">
        <f>IF(OR(B635="Acquisto",B635="Vendita"),COUNTIFS($C$5:C635,C635,$B$5:B635,"Acquisto")+COUNTIFS($C$5:C635,C635,$B$5:B635,"Vendita"),"")</f>
        <v/>
      </c>
      <c r="O635" t="str">
        <f>IF(N635="","",C635&amp;"|"&amp;N635)</f>
        <v/>
      </c>
      <c r="P635" t="str">
        <f>IF(N635="","",IF(N635=1,0,MATCH(C635&amp;"|"&amp;(N635-1),$O$5:$O$1004,0)))</f>
        <v/>
      </c>
      <c r="Q635" t="str">
        <f>IF(N635="","",IF(P635=0,SUMIFS(Calcoli!$C$7:$C$21,Calcoli!$A$7:$A$21,C635),INDEX($S$5:$S$1004,P635)))</f>
        <v/>
      </c>
      <c r="R635" t="str">
        <f>IF(N635="","",IF(P635=0,SUMIFS(Calcoli!$D$7:$D$21,Calcoli!$A$7:$A$21,C635),INDEX($T$5:$T$1004,P635)))</f>
        <v/>
      </c>
      <c r="S635" t="str">
        <f>IF(N635="","",IF(B635="Acquisto",Q635+N(D635),MAX(0,Q635-N(D635))))</f>
        <v/>
      </c>
      <c r="T635" t="str">
        <f>IF(N635="","",IF(B635="Acquisto",R635+J635+N(G635),IF(Q635&lt;=0,0,R635*(1-MIN(1,N(D635)/Q635)))))</f>
        <v/>
      </c>
      <c r="U635" t="str">
        <f>IF(B635&lt;&gt;"Vendita","",J635-N(G635)-IF(Q635&lt;=0,0,R635*MIN(1,N(D635)/Q635)))</f>
        <v/>
      </c>
      <c r="V635" t="str">
        <f>IF(B635&lt;&gt;"Dividendo","",IF(Calcoli!$B$251=1,J635,L635))</f>
        <v/>
      </c>
      <c r="W635" t="str">
        <f>IF(AND(V635&lt;&gt;"",ISNUMBER(A635)),A635,"")</f>
        <v/>
      </c>
    </row>
    <row r="636">
      <c r="A636" s="134" t="n"/>
      <c r="B636" s="116" t="n"/>
      <c r="C636" s="116" t="n"/>
      <c r="D636" s="121" t="n"/>
      <c r="E636" s="120" t="n"/>
      <c r="F636" s="120" t="n"/>
      <c r="G636" s="120" t="n"/>
      <c r="H636" s="120" t="n"/>
      <c r="I636" s="117" t="n"/>
      <c r="J636" s="123" t="str">
        <f>IF(B636="","",IF(F636&lt;&gt;"",N(F636),ROUND(N(D636)*N(E636),2)))</f>
        <v/>
      </c>
      <c r="K636" s="123" t="str">
        <f>IF(B636="","",IF(H636&lt;&gt;"",N(H636),IF(B636="Dividendo",ROUND(J636*IFERROR(INDEX(Calcoli!$V$7:$V$21,MATCH(C636,Calcoli!$A$7:$A$21,0)),0.26),2),IF(B636="Vendita",ROUND(MAX(0,U636)*IFERROR(INDEX(Calcoli!$V$7:$V$21,MATCH(C636,Calcoli!$A$7:$A$21,0)),0.26),2),0))))</f>
        <v/>
      </c>
      <c r="L636" s="135" t="str">
        <f>IF(B636="","",IF(B636="Acquisto",-(J636+N(G636)),J636-N(G636)-K636))</f>
        <v/>
      </c>
      <c r="M636" s="127" t="str">
        <f>IF(B636="","",IF(ISNA(MATCH(C636,ETF!$A$7:$A$21,0)),"ETF?",IF(NOT(ISNUMBER(A636)),"Data?",IF(AND(B636&lt;&gt;"Dividendo",N(D636)&lt;=0),"Quote?",IF(AND(B636="Vendita",N(D636)&gt;N(Q636)+0.000001),"Quote?",IF(J636&lt;=0,"Importo?","✓"))))))</f>
        <v/>
      </c>
      <c r="N636" t="str">
        <f>IF(OR(B636="Acquisto",B636="Vendita"),COUNTIFS($C$5:C636,C636,$B$5:B636,"Acquisto")+COUNTIFS($C$5:C636,C636,$B$5:B636,"Vendita"),"")</f>
        <v/>
      </c>
      <c r="O636" t="str">
        <f>IF(N636="","",C636&amp;"|"&amp;N636)</f>
        <v/>
      </c>
      <c r="P636" t="str">
        <f>IF(N636="","",IF(N636=1,0,MATCH(C636&amp;"|"&amp;(N636-1),$O$5:$O$1004,0)))</f>
        <v/>
      </c>
      <c r="Q636" t="str">
        <f>IF(N636="","",IF(P636=0,SUMIFS(Calcoli!$C$7:$C$21,Calcoli!$A$7:$A$21,C636),INDEX($S$5:$S$1004,P636)))</f>
        <v/>
      </c>
      <c r="R636" t="str">
        <f>IF(N636="","",IF(P636=0,SUMIFS(Calcoli!$D$7:$D$21,Calcoli!$A$7:$A$21,C636),INDEX($T$5:$T$1004,P636)))</f>
        <v/>
      </c>
      <c r="S636" t="str">
        <f>IF(N636="","",IF(B636="Acquisto",Q636+N(D636),MAX(0,Q636-N(D636))))</f>
        <v/>
      </c>
      <c r="T636" t="str">
        <f>IF(N636="","",IF(B636="Acquisto",R636+J636+N(G636),IF(Q636&lt;=0,0,R636*(1-MIN(1,N(D636)/Q636)))))</f>
        <v/>
      </c>
      <c r="U636" t="str">
        <f>IF(B636&lt;&gt;"Vendita","",J636-N(G636)-IF(Q636&lt;=0,0,R636*MIN(1,N(D636)/Q636)))</f>
        <v/>
      </c>
      <c r="V636" t="str">
        <f>IF(B636&lt;&gt;"Dividendo","",IF(Calcoli!$B$251=1,J636,L636))</f>
        <v/>
      </c>
      <c r="W636" t="str">
        <f>IF(AND(V636&lt;&gt;"",ISNUMBER(A636)),A636,"")</f>
        <v/>
      </c>
    </row>
    <row r="637">
      <c r="A637" s="134" t="n"/>
      <c r="B637" s="116" t="n"/>
      <c r="C637" s="116" t="n"/>
      <c r="D637" s="121" t="n"/>
      <c r="E637" s="120" t="n"/>
      <c r="F637" s="120" t="n"/>
      <c r="G637" s="120" t="n"/>
      <c r="H637" s="120" t="n"/>
      <c r="I637" s="117" t="n"/>
      <c r="J637" s="123" t="str">
        <f>IF(B637="","",IF(F637&lt;&gt;"",N(F637),ROUND(N(D637)*N(E637),2)))</f>
        <v/>
      </c>
      <c r="K637" s="123" t="str">
        <f>IF(B637="","",IF(H637&lt;&gt;"",N(H637),IF(B637="Dividendo",ROUND(J637*IFERROR(INDEX(Calcoli!$V$7:$V$21,MATCH(C637,Calcoli!$A$7:$A$21,0)),0.26),2),IF(B637="Vendita",ROUND(MAX(0,U637)*IFERROR(INDEX(Calcoli!$V$7:$V$21,MATCH(C637,Calcoli!$A$7:$A$21,0)),0.26),2),0))))</f>
        <v/>
      </c>
      <c r="L637" s="135" t="str">
        <f>IF(B637="","",IF(B637="Acquisto",-(J637+N(G637)),J637-N(G637)-K637))</f>
        <v/>
      </c>
      <c r="M637" s="127" t="str">
        <f>IF(B637="","",IF(ISNA(MATCH(C637,ETF!$A$7:$A$21,0)),"ETF?",IF(NOT(ISNUMBER(A637)),"Data?",IF(AND(B637&lt;&gt;"Dividendo",N(D637)&lt;=0),"Quote?",IF(AND(B637="Vendita",N(D637)&gt;N(Q637)+0.000001),"Quote?",IF(J637&lt;=0,"Importo?","✓"))))))</f>
        <v/>
      </c>
      <c r="N637" t="str">
        <f>IF(OR(B637="Acquisto",B637="Vendita"),COUNTIFS($C$5:C637,C637,$B$5:B637,"Acquisto")+COUNTIFS($C$5:C637,C637,$B$5:B637,"Vendita"),"")</f>
        <v/>
      </c>
      <c r="O637" t="str">
        <f>IF(N637="","",C637&amp;"|"&amp;N637)</f>
        <v/>
      </c>
      <c r="P637" t="str">
        <f>IF(N637="","",IF(N637=1,0,MATCH(C637&amp;"|"&amp;(N637-1),$O$5:$O$1004,0)))</f>
        <v/>
      </c>
      <c r="Q637" t="str">
        <f>IF(N637="","",IF(P637=0,SUMIFS(Calcoli!$C$7:$C$21,Calcoli!$A$7:$A$21,C637),INDEX($S$5:$S$1004,P637)))</f>
        <v/>
      </c>
      <c r="R637" t="str">
        <f>IF(N637="","",IF(P637=0,SUMIFS(Calcoli!$D$7:$D$21,Calcoli!$A$7:$A$21,C637),INDEX($T$5:$T$1004,P637)))</f>
        <v/>
      </c>
      <c r="S637" t="str">
        <f>IF(N637="","",IF(B637="Acquisto",Q637+N(D637),MAX(0,Q637-N(D637))))</f>
        <v/>
      </c>
      <c r="T637" t="str">
        <f>IF(N637="","",IF(B637="Acquisto",R637+J637+N(G637),IF(Q637&lt;=0,0,R637*(1-MIN(1,N(D637)/Q637)))))</f>
        <v/>
      </c>
      <c r="U637" t="str">
        <f>IF(B637&lt;&gt;"Vendita","",J637-N(G637)-IF(Q637&lt;=0,0,R637*MIN(1,N(D637)/Q637)))</f>
        <v/>
      </c>
      <c r="V637" t="str">
        <f>IF(B637&lt;&gt;"Dividendo","",IF(Calcoli!$B$251=1,J637,L637))</f>
        <v/>
      </c>
      <c r="W637" t="str">
        <f>IF(AND(V637&lt;&gt;"",ISNUMBER(A637)),A637,"")</f>
        <v/>
      </c>
    </row>
    <row r="638">
      <c r="A638" s="134" t="n"/>
      <c r="B638" s="116" t="n"/>
      <c r="C638" s="116" t="n"/>
      <c r="D638" s="121" t="n"/>
      <c r="E638" s="120" t="n"/>
      <c r="F638" s="120" t="n"/>
      <c r="G638" s="120" t="n"/>
      <c r="H638" s="120" t="n"/>
      <c r="I638" s="117" t="n"/>
      <c r="J638" s="123" t="str">
        <f>IF(B638="","",IF(F638&lt;&gt;"",N(F638),ROUND(N(D638)*N(E638),2)))</f>
        <v/>
      </c>
      <c r="K638" s="123" t="str">
        <f>IF(B638="","",IF(H638&lt;&gt;"",N(H638),IF(B638="Dividendo",ROUND(J638*IFERROR(INDEX(Calcoli!$V$7:$V$21,MATCH(C638,Calcoli!$A$7:$A$21,0)),0.26),2),IF(B638="Vendita",ROUND(MAX(0,U638)*IFERROR(INDEX(Calcoli!$V$7:$V$21,MATCH(C638,Calcoli!$A$7:$A$21,0)),0.26),2),0))))</f>
        <v/>
      </c>
      <c r="L638" s="135" t="str">
        <f>IF(B638="","",IF(B638="Acquisto",-(J638+N(G638)),J638-N(G638)-K638))</f>
        <v/>
      </c>
      <c r="M638" s="127" t="str">
        <f>IF(B638="","",IF(ISNA(MATCH(C638,ETF!$A$7:$A$21,0)),"ETF?",IF(NOT(ISNUMBER(A638)),"Data?",IF(AND(B638&lt;&gt;"Dividendo",N(D638)&lt;=0),"Quote?",IF(AND(B638="Vendita",N(D638)&gt;N(Q638)+0.000001),"Quote?",IF(J638&lt;=0,"Importo?","✓"))))))</f>
        <v/>
      </c>
      <c r="N638" t="str">
        <f>IF(OR(B638="Acquisto",B638="Vendita"),COUNTIFS($C$5:C638,C638,$B$5:B638,"Acquisto")+COUNTIFS($C$5:C638,C638,$B$5:B638,"Vendita"),"")</f>
        <v/>
      </c>
      <c r="O638" t="str">
        <f>IF(N638="","",C638&amp;"|"&amp;N638)</f>
        <v/>
      </c>
      <c r="P638" t="str">
        <f>IF(N638="","",IF(N638=1,0,MATCH(C638&amp;"|"&amp;(N638-1),$O$5:$O$1004,0)))</f>
        <v/>
      </c>
      <c r="Q638" t="str">
        <f>IF(N638="","",IF(P638=0,SUMIFS(Calcoli!$C$7:$C$21,Calcoli!$A$7:$A$21,C638),INDEX($S$5:$S$1004,P638)))</f>
        <v/>
      </c>
      <c r="R638" t="str">
        <f>IF(N638="","",IF(P638=0,SUMIFS(Calcoli!$D$7:$D$21,Calcoli!$A$7:$A$21,C638),INDEX($T$5:$T$1004,P638)))</f>
        <v/>
      </c>
      <c r="S638" t="str">
        <f>IF(N638="","",IF(B638="Acquisto",Q638+N(D638),MAX(0,Q638-N(D638))))</f>
        <v/>
      </c>
      <c r="T638" t="str">
        <f>IF(N638="","",IF(B638="Acquisto",R638+J638+N(G638),IF(Q638&lt;=0,0,R638*(1-MIN(1,N(D638)/Q638)))))</f>
        <v/>
      </c>
      <c r="U638" t="str">
        <f>IF(B638&lt;&gt;"Vendita","",J638-N(G638)-IF(Q638&lt;=0,0,R638*MIN(1,N(D638)/Q638)))</f>
        <v/>
      </c>
      <c r="V638" t="str">
        <f>IF(B638&lt;&gt;"Dividendo","",IF(Calcoli!$B$251=1,J638,L638))</f>
        <v/>
      </c>
      <c r="W638" t="str">
        <f>IF(AND(V638&lt;&gt;"",ISNUMBER(A638)),A638,"")</f>
        <v/>
      </c>
    </row>
    <row r="639">
      <c r="A639" s="134" t="n"/>
      <c r="B639" s="116" t="n"/>
      <c r="C639" s="116" t="n"/>
      <c r="D639" s="121" t="n"/>
      <c r="E639" s="120" t="n"/>
      <c r="F639" s="120" t="n"/>
      <c r="G639" s="120" t="n"/>
      <c r="H639" s="120" t="n"/>
      <c r="I639" s="117" t="n"/>
      <c r="J639" s="123" t="str">
        <f>IF(B639="","",IF(F639&lt;&gt;"",N(F639),ROUND(N(D639)*N(E639),2)))</f>
        <v/>
      </c>
      <c r="K639" s="123" t="str">
        <f>IF(B639="","",IF(H639&lt;&gt;"",N(H639),IF(B639="Dividendo",ROUND(J639*IFERROR(INDEX(Calcoli!$V$7:$V$21,MATCH(C639,Calcoli!$A$7:$A$21,0)),0.26),2),IF(B639="Vendita",ROUND(MAX(0,U639)*IFERROR(INDEX(Calcoli!$V$7:$V$21,MATCH(C639,Calcoli!$A$7:$A$21,0)),0.26),2),0))))</f>
        <v/>
      </c>
      <c r="L639" s="135" t="str">
        <f>IF(B639="","",IF(B639="Acquisto",-(J639+N(G639)),J639-N(G639)-K639))</f>
        <v/>
      </c>
      <c r="M639" s="127" t="str">
        <f>IF(B639="","",IF(ISNA(MATCH(C639,ETF!$A$7:$A$21,0)),"ETF?",IF(NOT(ISNUMBER(A639)),"Data?",IF(AND(B639&lt;&gt;"Dividendo",N(D639)&lt;=0),"Quote?",IF(AND(B639="Vendita",N(D639)&gt;N(Q639)+0.000001),"Quote?",IF(J639&lt;=0,"Importo?","✓"))))))</f>
        <v/>
      </c>
      <c r="N639" t="str">
        <f>IF(OR(B639="Acquisto",B639="Vendita"),COUNTIFS($C$5:C639,C639,$B$5:B639,"Acquisto")+COUNTIFS($C$5:C639,C639,$B$5:B639,"Vendita"),"")</f>
        <v/>
      </c>
      <c r="O639" t="str">
        <f>IF(N639="","",C639&amp;"|"&amp;N639)</f>
        <v/>
      </c>
      <c r="P639" t="str">
        <f>IF(N639="","",IF(N639=1,0,MATCH(C639&amp;"|"&amp;(N639-1),$O$5:$O$1004,0)))</f>
        <v/>
      </c>
      <c r="Q639" t="str">
        <f>IF(N639="","",IF(P639=0,SUMIFS(Calcoli!$C$7:$C$21,Calcoli!$A$7:$A$21,C639),INDEX($S$5:$S$1004,P639)))</f>
        <v/>
      </c>
      <c r="R639" t="str">
        <f>IF(N639="","",IF(P639=0,SUMIFS(Calcoli!$D$7:$D$21,Calcoli!$A$7:$A$21,C639),INDEX($T$5:$T$1004,P639)))</f>
        <v/>
      </c>
      <c r="S639" t="str">
        <f>IF(N639="","",IF(B639="Acquisto",Q639+N(D639),MAX(0,Q639-N(D639))))</f>
        <v/>
      </c>
      <c r="T639" t="str">
        <f>IF(N639="","",IF(B639="Acquisto",R639+J639+N(G639),IF(Q639&lt;=0,0,R639*(1-MIN(1,N(D639)/Q639)))))</f>
        <v/>
      </c>
      <c r="U639" t="str">
        <f>IF(B639&lt;&gt;"Vendita","",J639-N(G639)-IF(Q639&lt;=0,0,R639*MIN(1,N(D639)/Q639)))</f>
        <v/>
      </c>
      <c r="V639" t="str">
        <f>IF(B639&lt;&gt;"Dividendo","",IF(Calcoli!$B$251=1,J639,L639))</f>
        <v/>
      </c>
      <c r="W639" t="str">
        <f>IF(AND(V639&lt;&gt;"",ISNUMBER(A639)),A639,"")</f>
        <v/>
      </c>
    </row>
    <row r="640">
      <c r="A640" s="134" t="n"/>
      <c r="B640" s="116" t="n"/>
      <c r="C640" s="116" t="n"/>
      <c r="D640" s="121" t="n"/>
      <c r="E640" s="120" t="n"/>
      <c r="F640" s="120" t="n"/>
      <c r="G640" s="120" t="n"/>
      <c r="H640" s="120" t="n"/>
      <c r="I640" s="117" t="n"/>
      <c r="J640" s="123" t="str">
        <f>IF(B640="","",IF(F640&lt;&gt;"",N(F640),ROUND(N(D640)*N(E640),2)))</f>
        <v/>
      </c>
      <c r="K640" s="123" t="str">
        <f>IF(B640="","",IF(H640&lt;&gt;"",N(H640),IF(B640="Dividendo",ROUND(J640*IFERROR(INDEX(Calcoli!$V$7:$V$21,MATCH(C640,Calcoli!$A$7:$A$21,0)),0.26),2),IF(B640="Vendita",ROUND(MAX(0,U640)*IFERROR(INDEX(Calcoli!$V$7:$V$21,MATCH(C640,Calcoli!$A$7:$A$21,0)),0.26),2),0))))</f>
        <v/>
      </c>
      <c r="L640" s="135" t="str">
        <f>IF(B640="","",IF(B640="Acquisto",-(J640+N(G640)),J640-N(G640)-K640))</f>
        <v/>
      </c>
      <c r="M640" s="127" t="str">
        <f>IF(B640="","",IF(ISNA(MATCH(C640,ETF!$A$7:$A$21,0)),"ETF?",IF(NOT(ISNUMBER(A640)),"Data?",IF(AND(B640&lt;&gt;"Dividendo",N(D640)&lt;=0),"Quote?",IF(AND(B640="Vendita",N(D640)&gt;N(Q640)+0.000001),"Quote?",IF(J640&lt;=0,"Importo?","✓"))))))</f>
        <v/>
      </c>
      <c r="N640" t="str">
        <f>IF(OR(B640="Acquisto",B640="Vendita"),COUNTIFS($C$5:C640,C640,$B$5:B640,"Acquisto")+COUNTIFS($C$5:C640,C640,$B$5:B640,"Vendita"),"")</f>
        <v/>
      </c>
      <c r="O640" t="str">
        <f>IF(N640="","",C640&amp;"|"&amp;N640)</f>
        <v/>
      </c>
      <c r="P640" t="str">
        <f>IF(N640="","",IF(N640=1,0,MATCH(C640&amp;"|"&amp;(N640-1),$O$5:$O$1004,0)))</f>
        <v/>
      </c>
      <c r="Q640" t="str">
        <f>IF(N640="","",IF(P640=0,SUMIFS(Calcoli!$C$7:$C$21,Calcoli!$A$7:$A$21,C640),INDEX($S$5:$S$1004,P640)))</f>
        <v/>
      </c>
      <c r="R640" t="str">
        <f>IF(N640="","",IF(P640=0,SUMIFS(Calcoli!$D$7:$D$21,Calcoli!$A$7:$A$21,C640),INDEX($T$5:$T$1004,P640)))</f>
        <v/>
      </c>
      <c r="S640" t="str">
        <f>IF(N640="","",IF(B640="Acquisto",Q640+N(D640),MAX(0,Q640-N(D640))))</f>
        <v/>
      </c>
      <c r="T640" t="str">
        <f>IF(N640="","",IF(B640="Acquisto",R640+J640+N(G640),IF(Q640&lt;=0,0,R640*(1-MIN(1,N(D640)/Q640)))))</f>
        <v/>
      </c>
      <c r="U640" t="str">
        <f>IF(B640&lt;&gt;"Vendita","",J640-N(G640)-IF(Q640&lt;=0,0,R640*MIN(1,N(D640)/Q640)))</f>
        <v/>
      </c>
      <c r="V640" t="str">
        <f>IF(B640&lt;&gt;"Dividendo","",IF(Calcoli!$B$251=1,J640,L640))</f>
        <v/>
      </c>
      <c r="W640" t="str">
        <f>IF(AND(V640&lt;&gt;"",ISNUMBER(A640)),A640,"")</f>
        <v/>
      </c>
    </row>
    <row r="641">
      <c r="A641" s="134" t="n"/>
      <c r="B641" s="116" t="n"/>
      <c r="C641" s="116" t="n"/>
      <c r="D641" s="121" t="n"/>
      <c r="E641" s="120" t="n"/>
      <c r="F641" s="120" t="n"/>
      <c r="G641" s="120" t="n"/>
      <c r="H641" s="120" t="n"/>
      <c r="I641" s="117" t="n"/>
      <c r="J641" s="123" t="str">
        <f>IF(B641="","",IF(F641&lt;&gt;"",N(F641),ROUND(N(D641)*N(E641),2)))</f>
        <v/>
      </c>
      <c r="K641" s="123" t="str">
        <f>IF(B641="","",IF(H641&lt;&gt;"",N(H641),IF(B641="Dividendo",ROUND(J641*IFERROR(INDEX(Calcoli!$V$7:$V$21,MATCH(C641,Calcoli!$A$7:$A$21,0)),0.26),2),IF(B641="Vendita",ROUND(MAX(0,U641)*IFERROR(INDEX(Calcoli!$V$7:$V$21,MATCH(C641,Calcoli!$A$7:$A$21,0)),0.26),2),0))))</f>
        <v/>
      </c>
      <c r="L641" s="135" t="str">
        <f>IF(B641="","",IF(B641="Acquisto",-(J641+N(G641)),J641-N(G641)-K641))</f>
        <v/>
      </c>
      <c r="M641" s="127" t="str">
        <f>IF(B641="","",IF(ISNA(MATCH(C641,ETF!$A$7:$A$21,0)),"ETF?",IF(NOT(ISNUMBER(A641)),"Data?",IF(AND(B641&lt;&gt;"Dividendo",N(D641)&lt;=0),"Quote?",IF(AND(B641="Vendita",N(D641)&gt;N(Q641)+0.000001),"Quote?",IF(J641&lt;=0,"Importo?","✓"))))))</f>
        <v/>
      </c>
      <c r="N641" t="str">
        <f>IF(OR(B641="Acquisto",B641="Vendita"),COUNTIFS($C$5:C641,C641,$B$5:B641,"Acquisto")+COUNTIFS($C$5:C641,C641,$B$5:B641,"Vendita"),"")</f>
        <v/>
      </c>
      <c r="O641" t="str">
        <f>IF(N641="","",C641&amp;"|"&amp;N641)</f>
        <v/>
      </c>
      <c r="P641" t="str">
        <f>IF(N641="","",IF(N641=1,0,MATCH(C641&amp;"|"&amp;(N641-1),$O$5:$O$1004,0)))</f>
        <v/>
      </c>
      <c r="Q641" t="str">
        <f>IF(N641="","",IF(P641=0,SUMIFS(Calcoli!$C$7:$C$21,Calcoli!$A$7:$A$21,C641),INDEX($S$5:$S$1004,P641)))</f>
        <v/>
      </c>
      <c r="R641" t="str">
        <f>IF(N641="","",IF(P641=0,SUMIFS(Calcoli!$D$7:$D$21,Calcoli!$A$7:$A$21,C641),INDEX($T$5:$T$1004,P641)))</f>
        <v/>
      </c>
      <c r="S641" t="str">
        <f>IF(N641="","",IF(B641="Acquisto",Q641+N(D641),MAX(0,Q641-N(D641))))</f>
        <v/>
      </c>
      <c r="T641" t="str">
        <f>IF(N641="","",IF(B641="Acquisto",R641+J641+N(G641),IF(Q641&lt;=0,0,R641*(1-MIN(1,N(D641)/Q641)))))</f>
        <v/>
      </c>
      <c r="U641" t="str">
        <f>IF(B641&lt;&gt;"Vendita","",J641-N(G641)-IF(Q641&lt;=0,0,R641*MIN(1,N(D641)/Q641)))</f>
        <v/>
      </c>
      <c r="V641" t="str">
        <f>IF(B641&lt;&gt;"Dividendo","",IF(Calcoli!$B$251=1,J641,L641))</f>
        <v/>
      </c>
      <c r="W641" t="str">
        <f>IF(AND(V641&lt;&gt;"",ISNUMBER(A641)),A641,"")</f>
        <v/>
      </c>
    </row>
    <row r="642">
      <c r="A642" s="134" t="n"/>
      <c r="B642" s="116" t="n"/>
      <c r="C642" s="116" t="n"/>
      <c r="D642" s="121" t="n"/>
      <c r="E642" s="120" t="n"/>
      <c r="F642" s="120" t="n"/>
      <c r="G642" s="120" t="n"/>
      <c r="H642" s="120" t="n"/>
      <c r="I642" s="117" t="n"/>
      <c r="J642" s="123" t="str">
        <f>IF(B642="","",IF(F642&lt;&gt;"",N(F642),ROUND(N(D642)*N(E642),2)))</f>
        <v/>
      </c>
      <c r="K642" s="123" t="str">
        <f>IF(B642="","",IF(H642&lt;&gt;"",N(H642),IF(B642="Dividendo",ROUND(J642*IFERROR(INDEX(Calcoli!$V$7:$V$21,MATCH(C642,Calcoli!$A$7:$A$21,0)),0.26),2),IF(B642="Vendita",ROUND(MAX(0,U642)*IFERROR(INDEX(Calcoli!$V$7:$V$21,MATCH(C642,Calcoli!$A$7:$A$21,0)),0.26),2),0))))</f>
        <v/>
      </c>
      <c r="L642" s="135" t="str">
        <f>IF(B642="","",IF(B642="Acquisto",-(J642+N(G642)),J642-N(G642)-K642))</f>
        <v/>
      </c>
      <c r="M642" s="127" t="str">
        <f>IF(B642="","",IF(ISNA(MATCH(C642,ETF!$A$7:$A$21,0)),"ETF?",IF(NOT(ISNUMBER(A642)),"Data?",IF(AND(B642&lt;&gt;"Dividendo",N(D642)&lt;=0),"Quote?",IF(AND(B642="Vendita",N(D642)&gt;N(Q642)+0.000001),"Quote?",IF(J642&lt;=0,"Importo?","✓"))))))</f>
        <v/>
      </c>
      <c r="N642" t="str">
        <f>IF(OR(B642="Acquisto",B642="Vendita"),COUNTIFS($C$5:C642,C642,$B$5:B642,"Acquisto")+COUNTIFS($C$5:C642,C642,$B$5:B642,"Vendita"),"")</f>
        <v/>
      </c>
      <c r="O642" t="str">
        <f>IF(N642="","",C642&amp;"|"&amp;N642)</f>
        <v/>
      </c>
      <c r="P642" t="str">
        <f>IF(N642="","",IF(N642=1,0,MATCH(C642&amp;"|"&amp;(N642-1),$O$5:$O$1004,0)))</f>
        <v/>
      </c>
      <c r="Q642" t="str">
        <f>IF(N642="","",IF(P642=0,SUMIFS(Calcoli!$C$7:$C$21,Calcoli!$A$7:$A$21,C642),INDEX($S$5:$S$1004,P642)))</f>
        <v/>
      </c>
      <c r="R642" t="str">
        <f>IF(N642="","",IF(P642=0,SUMIFS(Calcoli!$D$7:$D$21,Calcoli!$A$7:$A$21,C642),INDEX($T$5:$T$1004,P642)))</f>
        <v/>
      </c>
      <c r="S642" t="str">
        <f>IF(N642="","",IF(B642="Acquisto",Q642+N(D642),MAX(0,Q642-N(D642))))</f>
        <v/>
      </c>
      <c r="T642" t="str">
        <f>IF(N642="","",IF(B642="Acquisto",R642+J642+N(G642),IF(Q642&lt;=0,0,R642*(1-MIN(1,N(D642)/Q642)))))</f>
        <v/>
      </c>
      <c r="U642" t="str">
        <f>IF(B642&lt;&gt;"Vendita","",J642-N(G642)-IF(Q642&lt;=0,0,R642*MIN(1,N(D642)/Q642)))</f>
        <v/>
      </c>
      <c r="V642" t="str">
        <f>IF(B642&lt;&gt;"Dividendo","",IF(Calcoli!$B$251=1,J642,L642))</f>
        <v/>
      </c>
      <c r="W642" t="str">
        <f>IF(AND(V642&lt;&gt;"",ISNUMBER(A642)),A642,"")</f>
        <v/>
      </c>
    </row>
    <row r="643">
      <c r="A643" s="134" t="n"/>
      <c r="B643" s="116" t="n"/>
      <c r="C643" s="116" t="n"/>
      <c r="D643" s="121" t="n"/>
      <c r="E643" s="120" t="n"/>
      <c r="F643" s="120" t="n"/>
      <c r="G643" s="120" t="n"/>
      <c r="H643" s="120" t="n"/>
      <c r="I643" s="117" t="n"/>
      <c r="J643" s="123" t="str">
        <f>IF(B643="","",IF(F643&lt;&gt;"",N(F643),ROUND(N(D643)*N(E643),2)))</f>
        <v/>
      </c>
      <c r="K643" s="123" t="str">
        <f>IF(B643="","",IF(H643&lt;&gt;"",N(H643),IF(B643="Dividendo",ROUND(J643*IFERROR(INDEX(Calcoli!$V$7:$V$21,MATCH(C643,Calcoli!$A$7:$A$21,0)),0.26),2),IF(B643="Vendita",ROUND(MAX(0,U643)*IFERROR(INDEX(Calcoli!$V$7:$V$21,MATCH(C643,Calcoli!$A$7:$A$21,0)),0.26),2),0))))</f>
        <v/>
      </c>
      <c r="L643" s="135" t="str">
        <f>IF(B643="","",IF(B643="Acquisto",-(J643+N(G643)),J643-N(G643)-K643))</f>
        <v/>
      </c>
      <c r="M643" s="127" t="str">
        <f>IF(B643="","",IF(ISNA(MATCH(C643,ETF!$A$7:$A$21,0)),"ETF?",IF(NOT(ISNUMBER(A643)),"Data?",IF(AND(B643&lt;&gt;"Dividendo",N(D643)&lt;=0),"Quote?",IF(AND(B643="Vendita",N(D643)&gt;N(Q643)+0.000001),"Quote?",IF(J643&lt;=0,"Importo?","✓"))))))</f>
        <v/>
      </c>
      <c r="N643" t="str">
        <f>IF(OR(B643="Acquisto",B643="Vendita"),COUNTIFS($C$5:C643,C643,$B$5:B643,"Acquisto")+COUNTIFS($C$5:C643,C643,$B$5:B643,"Vendita"),"")</f>
        <v/>
      </c>
      <c r="O643" t="str">
        <f>IF(N643="","",C643&amp;"|"&amp;N643)</f>
        <v/>
      </c>
      <c r="P643" t="str">
        <f>IF(N643="","",IF(N643=1,0,MATCH(C643&amp;"|"&amp;(N643-1),$O$5:$O$1004,0)))</f>
        <v/>
      </c>
      <c r="Q643" t="str">
        <f>IF(N643="","",IF(P643=0,SUMIFS(Calcoli!$C$7:$C$21,Calcoli!$A$7:$A$21,C643),INDEX($S$5:$S$1004,P643)))</f>
        <v/>
      </c>
      <c r="R643" t="str">
        <f>IF(N643="","",IF(P643=0,SUMIFS(Calcoli!$D$7:$D$21,Calcoli!$A$7:$A$21,C643),INDEX($T$5:$T$1004,P643)))</f>
        <v/>
      </c>
      <c r="S643" t="str">
        <f>IF(N643="","",IF(B643="Acquisto",Q643+N(D643),MAX(0,Q643-N(D643))))</f>
        <v/>
      </c>
      <c r="T643" t="str">
        <f>IF(N643="","",IF(B643="Acquisto",R643+J643+N(G643),IF(Q643&lt;=0,0,R643*(1-MIN(1,N(D643)/Q643)))))</f>
        <v/>
      </c>
      <c r="U643" t="str">
        <f>IF(B643&lt;&gt;"Vendita","",J643-N(G643)-IF(Q643&lt;=0,0,R643*MIN(1,N(D643)/Q643)))</f>
        <v/>
      </c>
      <c r="V643" t="str">
        <f>IF(B643&lt;&gt;"Dividendo","",IF(Calcoli!$B$251=1,J643,L643))</f>
        <v/>
      </c>
      <c r="W643" t="str">
        <f>IF(AND(V643&lt;&gt;"",ISNUMBER(A643)),A643,"")</f>
        <v/>
      </c>
    </row>
    <row r="644">
      <c r="A644" s="134" t="n"/>
      <c r="B644" s="116" t="n"/>
      <c r="C644" s="116" t="n"/>
      <c r="D644" s="121" t="n"/>
      <c r="E644" s="120" t="n"/>
      <c r="F644" s="120" t="n"/>
      <c r="G644" s="120" t="n"/>
      <c r="H644" s="120" t="n"/>
      <c r="I644" s="117" t="n"/>
      <c r="J644" s="123" t="str">
        <f>IF(B644="","",IF(F644&lt;&gt;"",N(F644),ROUND(N(D644)*N(E644),2)))</f>
        <v/>
      </c>
      <c r="K644" s="123" t="str">
        <f>IF(B644="","",IF(H644&lt;&gt;"",N(H644),IF(B644="Dividendo",ROUND(J644*IFERROR(INDEX(Calcoli!$V$7:$V$21,MATCH(C644,Calcoli!$A$7:$A$21,0)),0.26),2),IF(B644="Vendita",ROUND(MAX(0,U644)*IFERROR(INDEX(Calcoli!$V$7:$V$21,MATCH(C644,Calcoli!$A$7:$A$21,0)),0.26),2),0))))</f>
        <v/>
      </c>
      <c r="L644" s="135" t="str">
        <f>IF(B644="","",IF(B644="Acquisto",-(J644+N(G644)),J644-N(G644)-K644))</f>
        <v/>
      </c>
      <c r="M644" s="127" t="str">
        <f>IF(B644="","",IF(ISNA(MATCH(C644,ETF!$A$7:$A$21,0)),"ETF?",IF(NOT(ISNUMBER(A644)),"Data?",IF(AND(B644&lt;&gt;"Dividendo",N(D644)&lt;=0),"Quote?",IF(AND(B644="Vendita",N(D644)&gt;N(Q644)+0.000001),"Quote?",IF(J644&lt;=0,"Importo?","✓"))))))</f>
        <v/>
      </c>
      <c r="N644" t="str">
        <f>IF(OR(B644="Acquisto",B644="Vendita"),COUNTIFS($C$5:C644,C644,$B$5:B644,"Acquisto")+COUNTIFS($C$5:C644,C644,$B$5:B644,"Vendita"),"")</f>
        <v/>
      </c>
      <c r="O644" t="str">
        <f>IF(N644="","",C644&amp;"|"&amp;N644)</f>
        <v/>
      </c>
      <c r="P644" t="str">
        <f>IF(N644="","",IF(N644=1,0,MATCH(C644&amp;"|"&amp;(N644-1),$O$5:$O$1004,0)))</f>
        <v/>
      </c>
      <c r="Q644" t="str">
        <f>IF(N644="","",IF(P644=0,SUMIFS(Calcoli!$C$7:$C$21,Calcoli!$A$7:$A$21,C644),INDEX($S$5:$S$1004,P644)))</f>
        <v/>
      </c>
      <c r="R644" t="str">
        <f>IF(N644="","",IF(P644=0,SUMIFS(Calcoli!$D$7:$D$21,Calcoli!$A$7:$A$21,C644),INDEX($T$5:$T$1004,P644)))</f>
        <v/>
      </c>
      <c r="S644" t="str">
        <f>IF(N644="","",IF(B644="Acquisto",Q644+N(D644),MAX(0,Q644-N(D644))))</f>
        <v/>
      </c>
      <c r="T644" t="str">
        <f>IF(N644="","",IF(B644="Acquisto",R644+J644+N(G644),IF(Q644&lt;=0,0,R644*(1-MIN(1,N(D644)/Q644)))))</f>
        <v/>
      </c>
      <c r="U644" t="str">
        <f>IF(B644&lt;&gt;"Vendita","",J644-N(G644)-IF(Q644&lt;=0,0,R644*MIN(1,N(D644)/Q644)))</f>
        <v/>
      </c>
      <c r="V644" t="str">
        <f>IF(B644&lt;&gt;"Dividendo","",IF(Calcoli!$B$251=1,J644,L644))</f>
        <v/>
      </c>
      <c r="W644" t="str">
        <f>IF(AND(V644&lt;&gt;"",ISNUMBER(A644)),A644,"")</f>
        <v/>
      </c>
    </row>
    <row r="645">
      <c r="A645" s="134" t="n"/>
      <c r="B645" s="116" t="n"/>
      <c r="C645" s="116" t="n"/>
      <c r="D645" s="121" t="n"/>
      <c r="E645" s="120" t="n"/>
      <c r="F645" s="120" t="n"/>
      <c r="G645" s="120" t="n"/>
      <c r="H645" s="120" t="n"/>
      <c r="I645" s="117" t="n"/>
      <c r="J645" s="123" t="str">
        <f>IF(B645="","",IF(F645&lt;&gt;"",N(F645),ROUND(N(D645)*N(E645),2)))</f>
        <v/>
      </c>
      <c r="K645" s="123" t="str">
        <f>IF(B645="","",IF(H645&lt;&gt;"",N(H645),IF(B645="Dividendo",ROUND(J645*IFERROR(INDEX(Calcoli!$V$7:$V$21,MATCH(C645,Calcoli!$A$7:$A$21,0)),0.26),2),IF(B645="Vendita",ROUND(MAX(0,U645)*IFERROR(INDEX(Calcoli!$V$7:$V$21,MATCH(C645,Calcoli!$A$7:$A$21,0)),0.26),2),0))))</f>
        <v/>
      </c>
      <c r="L645" s="135" t="str">
        <f>IF(B645="","",IF(B645="Acquisto",-(J645+N(G645)),J645-N(G645)-K645))</f>
        <v/>
      </c>
      <c r="M645" s="127" t="str">
        <f>IF(B645="","",IF(ISNA(MATCH(C645,ETF!$A$7:$A$21,0)),"ETF?",IF(NOT(ISNUMBER(A645)),"Data?",IF(AND(B645&lt;&gt;"Dividendo",N(D645)&lt;=0),"Quote?",IF(AND(B645="Vendita",N(D645)&gt;N(Q645)+0.000001),"Quote?",IF(J645&lt;=0,"Importo?","✓"))))))</f>
        <v/>
      </c>
      <c r="N645" t="str">
        <f>IF(OR(B645="Acquisto",B645="Vendita"),COUNTIFS($C$5:C645,C645,$B$5:B645,"Acquisto")+COUNTIFS($C$5:C645,C645,$B$5:B645,"Vendita"),"")</f>
        <v/>
      </c>
      <c r="O645" t="str">
        <f>IF(N645="","",C645&amp;"|"&amp;N645)</f>
        <v/>
      </c>
      <c r="P645" t="str">
        <f>IF(N645="","",IF(N645=1,0,MATCH(C645&amp;"|"&amp;(N645-1),$O$5:$O$1004,0)))</f>
        <v/>
      </c>
      <c r="Q645" t="str">
        <f>IF(N645="","",IF(P645=0,SUMIFS(Calcoli!$C$7:$C$21,Calcoli!$A$7:$A$21,C645),INDEX($S$5:$S$1004,P645)))</f>
        <v/>
      </c>
      <c r="R645" t="str">
        <f>IF(N645="","",IF(P645=0,SUMIFS(Calcoli!$D$7:$D$21,Calcoli!$A$7:$A$21,C645),INDEX($T$5:$T$1004,P645)))</f>
        <v/>
      </c>
      <c r="S645" t="str">
        <f>IF(N645="","",IF(B645="Acquisto",Q645+N(D645),MAX(0,Q645-N(D645))))</f>
        <v/>
      </c>
      <c r="T645" t="str">
        <f>IF(N645="","",IF(B645="Acquisto",R645+J645+N(G645),IF(Q645&lt;=0,0,R645*(1-MIN(1,N(D645)/Q645)))))</f>
        <v/>
      </c>
      <c r="U645" t="str">
        <f>IF(B645&lt;&gt;"Vendita","",J645-N(G645)-IF(Q645&lt;=0,0,R645*MIN(1,N(D645)/Q645)))</f>
        <v/>
      </c>
      <c r="V645" t="str">
        <f>IF(B645&lt;&gt;"Dividendo","",IF(Calcoli!$B$251=1,J645,L645))</f>
        <v/>
      </c>
      <c r="W645" t="str">
        <f>IF(AND(V645&lt;&gt;"",ISNUMBER(A645)),A645,"")</f>
        <v/>
      </c>
    </row>
    <row r="646">
      <c r="A646" s="134" t="n"/>
      <c r="B646" s="116" t="n"/>
      <c r="C646" s="116" t="n"/>
      <c r="D646" s="121" t="n"/>
      <c r="E646" s="120" t="n"/>
      <c r="F646" s="120" t="n"/>
      <c r="G646" s="120" t="n"/>
      <c r="H646" s="120" t="n"/>
      <c r="I646" s="117" t="n"/>
      <c r="J646" s="123" t="str">
        <f>IF(B646="","",IF(F646&lt;&gt;"",N(F646),ROUND(N(D646)*N(E646),2)))</f>
        <v/>
      </c>
      <c r="K646" s="123" t="str">
        <f>IF(B646="","",IF(H646&lt;&gt;"",N(H646),IF(B646="Dividendo",ROUND(J646*IFERROR(INDEX(Calcoli!$V$7:$V$21,MATCH(C646,Calcoli!$A$7:$A$21,0)),0.26),2),IF(B646="Vendita",ROUND(MAX(0,U646)*IFERROR(INDEX(Calcoli!$V$7:$V$21,MATCH(C646,Calcoli!$A$7:$A$21,0)),0.26),2),0))))</f>
        <v/>
      </c>
      <c r="L646" s="135" t="str">
        <f>IF(B646="","",IF(B646="Acquisto",-(J646+N(G646)),J646-N(G646)-K646))</f>
        <v/>
      </c>
      <c r="M646" s="127" t="str">
        <f>IF(B646="","",IF(ISNA(MATCH(C646,ETF!$A$7:$A$21,0)),"ETF?",IF(NOT(ISNUMBER(A646)),"Data?",IF(AND(B646&lt;&gt;"Dividendo",N(D646)&lt;=0),"Quote?",IF(AND(B646="Vendita",N(D646)&gt;N(Q646)+0.000001),"Quote?",IF(J646&lt;=0,"Importo?","✓"))))))</f>
        <v/>
      </c>
      <c r="N646" t="str">
        <f>IF(OR(B646="Acquisto",B646="Vendita"),COUNTIFS($C$5:C646,C646,$B$5:B646,"Acquisto")+COUNTIFS($C$5:C646,C646,$B$5:B646,"Vendita"),"")</f>
        <v/>
      </c>
      <c r="O646" t="str">
        <f>IF(N646="","",C646&amp;"|"&amp;N646)</f>
        <v/>
      </c>
      <c r="P646" t="str">
        <f>IF(N646="","",IF(N646=1,0,MATCH(C646&amp;"|"&amp;(N646-1),$O$5:$O$1004,0)))</f>
        <v/>
      </c>
      <c r="Q646" t="str">
        <f>IF(N646="","",IF(P646=0,SUMIFS(Calcoli!$C$7:$C$21,Calcoli!$A$7:$A$21,C646),INDEX($S$5:$S$1004,P646)))</f>
        <v/>
      </c>
      <c r="R646" t="str">
        <f>IF(N646="","",IF(P646=0,SUMIFS(Calcoli!$D$7:$D$21,Calcoli!$A$7:$A$21,C646),INDEX($T$5:$T$1004,P646)))</f>
        <v/>
      </c>
      <c r="S646" t="str">
        <f>IF(N646="","",IF(B646="Acquisto",Q646+N(D646),MAX(0,Q646-N(D646))))</f>
        <v/>
      </c>
      <c r="T646" t="str">
        <f>IF(N646="","",IF(B646="Acquisto",R646+J646+N(G646),IF(Q646&lt;=0,0,R646*(1-MIN(1,N(D646)/Q646)))))</f>
        <v/>
      </c>
      <c r="U646" t="str">
        <f>IF(B646&lt;&gt;"Vendita","",J646-N(G646)-IF(Q646&lt;=0,0,R646*MIN(1,N(D646)/Q646)))</f>
        <v/>
      </c>
      <c r="V646" t="str">
        <f>IF(B646&lt;&gt;"Dividendo","",IF(Calcoli!$B$251=1,J646,L646))</f>
        <v/>
      </c>
      <c r="W646" t="str">
        <f>IF(AND(V646&lt;&gt;"",ISNUMBER(A646)),A646,"")</f>
        <v/>
      </c>
    </row>
    <row r="647">
      <c r="A647" s="134" t="n"/>
      <c r="B647" s="116" t="n"/>
      <c r="C647" s="116" t="n"/>
      <c r="D647" s="121" t="n"/>
      <c r="E647" s="120" t="n"/>
      <c r="F647" s="120" t="n"/>
      <c r="G647" s="120" t="n"/>
      <c r="H647" s="120" t="n"/>
      <c r="I647" s="117" t="n"/>
      <c r="J647" s="123" t="str">
        <f>IF(B647="","",IF(F647&lt;&gt;"",N(F647),ROUND(N(D647)*N(E647),2)))</f>
        <v/>
      </c>
      <c r="K647" s="123" t="str">
        <f>IF(B647="","",IF(H647&lt;&gt;"",N(H647),IF(B647="Dividendo",ROUND(J647*IFERROR(INDEX(Calcoli!$V$7:$V$21,MATCH(C647,Calcoli!$A$7:$A$21,0)),0.26),2),IF(B647="Vendita",ROUND(MAX(0,U647)*IFERROR(INDEX(Calcoli!$V$7:$V$21,MATCH(C647,Calcoli!$A$7:$A$21,0)),0.26),2),0))))</f>
        <v/>
      </c>
      <c r="L647" s="135" t="str">
        <f>IF(B647="","",IF(B647="Acquisto",-(J647+N(G647)),J647-N(G647)-K647))</f>
        <v/>
      </c>
      <c r="M647" s="127" t="str">
        <f>IF(B647="","",IF(ISNA(MATCH(C647,ETF!$A$7:$A$21,0)),"ETF?",IF(NOT(ISNUMBER(A647)),"Data?",IF(AND(B647&lt;&gt;"Dividendo",N(D647)&lt;=0),"Quote?",IF(AND(B647="Vendita",N(D647)&gt;N(Q647)+0.000001),"Quote?",IF(J647&lt;=0,"Importo?","✓"))))))</f>
        <v/>
      </c>
      <c r="N647" t="str">
        <f>IF(OR(B647="Acquisto",B647="Vendita"),COUNTIFS($C$5:C647,C647,$B$5:B647,"Acquisto")+COUNTIFS($C$5:C647,C647,$B$5:B647,"Vendita"),"")</f>
        <v/>
      </c>
      <c r="O647" t="str">
        <f>IF(N647="","",C647&amp;"|"&amp;N647)</f>
        <v/>
      </c>
      <c r="P647" t="str">
        <f>IF(N647="","",IF(N647=1,0,MATCH(C647&amp;"|"&amp;(N647-1),$O$5:$O$1004,0)))</f>
        <v/>
      </c>
      <c r="Q647" t="str">
        <f>IF(N647="","",IF(P647=0,SUMIFS(Calcoli!$C$7:$C$21,Calcoli!$A$7:$A$21,C647),INDEX($S$5:$S$1004,P647)))</f>
        <v/>
      </c>
      <c r="R647" t="str">
        <f>IF(N647="","",IF(P647=0,SUMIFS(Calcoli!$D$7:$D$21,Calcoli!$A$7:$A$21,C647),INDEX($T$5:$T$1004,P647)))</f>
        <v/>
      </c>
      <c r="S647" t="str">
        <f>IF(N647="","",IF(B647="Acquisto",Q647+N(D647),MAX(0,Q647-N(D647))))</f>
        <v/>
      </c>
      <c r="T647" t="str">
        <f>IF(N647="","",IF(B647="Acquisto",R647+J647+N(G647),IF(Q647&lt;=0,0,R647*(1-MIN(1,N(D647)/Q647)))))</f>
        <v/>
      </c>
      <c r="U647" t="str">
        <f>IF(B647&lt;&gt;"Vendita","",J647-N(G647)-IF(Q647&lt;=0,0,R647*MIN(1,N(D647)/Q647)))</f>
        <v/>
      </c>
      <c r="V647" t="str">
        <f>IF(B647&lt;&gt;"Dividendo","",IF(Calcoli!$B$251=1,J647,L647))</f>
        <v/>
      </c>
      <c r="W647" t="str">
        <f>IF(AND(V647&lt;&gt;"",ISNUMBER(A647)),A647,"")</f>
        <v/>
      </c>
    </row>
    <row r="648">
      <c r="A648" s="134" t="n"/>
      <c r="B648" s="116" t="n"/>
      <c r="C648" s="116" t="n"/>
      <c r="D648" s="121" t="n"/>
      <c r="E648" s="120" t="n"/>
      <c r="F648" s="120" t="n"/>
      <c r="G648" s="120" t="n"/>
      <c r="H648" s="120" t="n"/>
      <c r="I648" s="117" t="n"/>
      <c r="J648" s="123" t="str">
        <f>IF(B648="","",IF(F648&lt;&gt;"",N(F648),ROUND(N(D648)*N(E648),2)))</f>
        <v/>
      </c>
      <c r="K648" s="123" t="str">
        <f>IF(B648="","",IF(H648&lt;&gt;"",N(H648),IF(B648="Dividendo",ROUND(J648*IFERROR(INDEX(Calcoli!$V$7:$V$21,MATCH(C648,Calcoli!$A$7:$A$21,0)),0.26),2),IF(B648="Vendita",ROUND(MAX(0,U648)*IFERROR(INDEX(Calcoli!$V$7:$V$21,MATCH(C648,Calcoli!$A$7:$A$21,0)),0.26),2),0))))</f>
        <v/>
      </c>
      <c r="L648" s="135" t="str">
        <f>IF(B648="","",IF(B648="Acquisto",-(J648+N(G648)),J648-N(G648)-K648))</f>
        <v/>
      </c>
      <c r="M648" s="127" t="str">
        <f>IF(B648="","",IF(ISNA(MATCH(C648,ETF!$A$7:$A$21,0)),"ETF?",IF(NOT(ISNUMBER(A648)),"Data?",IF(AND(B648&lt;&gt;"Dividendo",N(D648)&lt;=0),"Quote?",IF(AND(B648="Vendita",N(D648)&gt;N(Q648)+0.000001),"Quote?",IF(J648&lt;=0,"Importo?","✓"))))))</f>
        <v/>
      </c>
      <c r="N648" t="str">
        <f>IF(OR(B648="Acquisto",B648="Vendita"),COUNTIFS($C$5:C648,C648,$B$5:B648,"Acquisto")+COUNTIFS($C$5:C648,C648,$B$5:B648,"Vendita"),"")</f>
        <v/>
      </c>
      <c r="O648" t="str">
        <f>IF(N648="","",C648&amp;"|"&amp;N648)</f>
        <v/>
      </c>
      <c r="P648" t="str">
        <f>IF(N648="","",IF(N648=1,0,MATCH(C648&amp;"|"&amp;(N648-1),$O$5:$O$1004,0)))</f>
        <v/>
      </c>
      <c r="Q648" t="str">
        <f>IF(N648="","",IF(P648=0,SUMIFS(Calcoli!$C$7:$C$21,Calcoli!$A$7:$A$21,C648),INDEX($S$5:$S$1004,P648)))</f>
        <v/>
      </c>
      <c r="R648" t="str">
        <f>IF(N648="","",IF(P648=0,SUMIFS(Calcoli!$D$7:$D$21,Calcoli!$A$7:$A$21,C648),INDEX($T$5:$T$1004,P648)))</f>
        <v/>
      </c>
      <c r="S648" t="str">
        <f>IF(N648="","",IF(B648="Acquisto",Q648+N(D648),MAX(0,Q648-N(D648))))</f>
        <v/>
      </c>
      <c r="T648" t="str">
        <f>IF(N648="","",IF(B648="Acquisto",R648+J648+N(G648),IF(Q648&lt;=0,0,R648*(1-MIN(1,N(D648)/Q648)))))</f>
        <v/>
      </c>
      <c r="U648" t="str">
        <f>IF(B648&lt;&gt;"Vendita","",J648-N(G648)-IF(Q648&lt;=0,0,R648*MIN(1,N(D648)/Q648)))</f>
        <v/>
      </c>
      <c r="V648" t="str">
        <f>IF(B648&lt;&gt;"Dividendo","",IF(Calcoli!$B$251=1,J648,L648))</f>
        <v/>
      </c>
      <c r="W648" t="str">
        <f>IF(AND(V648&lt;&gt;"",ISNUMBER(A648)),A648,"")</f>
        <v/>
      </c>
    </row>
    <row r="649">
      <c r="A649" s="134" t="n"/>
      <c r="B649" s="116" t="n"/>
      <c r="C649" s="116" t="n"/>
      <c r="D649" s="121" t="n"/>
      <c r="E649" s="120" t="n"/>
      <c r="F649" s="120" t="n"/>
      <c r="G649" s="120" t="n"/>
      <c r="H649" s="120" t="n"/>
      <c r="I649" s="117" t="n"/>
      <c r="J649" s="123" t="str">
        <f>IF(B649="","",IF(F649&lt;&gt;"",N(F649),ROUND(N(D649)*N(E649),2)))</f>
        <v/>
      </c>
      <c r="K649" s="123" t="str">
        <f>IF(B649="","",IF(H649&lt;&gt;"",N(H649),IF(B649="Dividendo",ROUND(J649*IFERROR(INDEX(Calcoli!$V$7:$V$21,MATCH(C649,Calcoli!$A$7:$A$21,0)),0.26),2),IF(B649="Vendita",ROUND(MAX(0,U649)*IFERROR(INDEX(Calcoli!$V$7:$V$21,MATCH(C649,Calcoli!$A$7:$A$21,0)),0.26),2),0))))</f>
        <v/>
      </c>
      <c r="L649" s="135" t="str">
        <f>IF(B649="","",IF(B649="Acquisto",-(J649+N(G649)),J649-N(G649)-K649))</f>
        <v/>
      </c>
      <c r="M649" s="127" t="str">
        <f>IF(B649="","",IF(ISNA(MATCH(C649,ETF!$A$7:$A$21,0)),"ETF?",IF(NOT(ISNUMBER(A649)),"Data?",IF(AND(B649&lt;&gt;"Dividendo",N(D649)&lt;=0),"Quote?",IF(AND(B649="Vendita",N(D649)&gt;N(Q649)+0.000001),"Quote?",IF(J649&lt;=0,"Importo?","✓"))))))</f>
        <v/>
      </c>
      <c r="N649" t="str">
        <f>IF(OR(B649="Acquisto",B649="Vendita"),COUNTIFS($C$5:C649,C649,$B$5:B649,"Acquisto")+COUNTIFS($C$5:C649,C649,$B$5:B649,"Vendita"),"")</f>
        <v/>
      </c>
      <c r="O649" t="str">
        <f>IF(N649="","",C649&amp;"|"&amp;N649)</f>
        <v/>
      </c>
      <c r="P649" t="str">
        <f>IF(N649="","",IF(N649=1,0,MATCH(C649&amp;"|"&amp;(N649-1),$O$5:$O$1004,0)))</f>
        <v/>
      </c>
      <c r="Q649" t="str">
        <f>IF(N649="","",IF(P649=0,SUMIFS(Calcoli!$C$7:$C$21,Calcoli!$A$7:$A$21,C649),INDEX($S$5:$S$1004,P649)))</f>
        <v/>
      </c>
      <c r="R649" t="str">
        <f>IF(N649="","",IF(P649=0,SUMIFS(Calcoli!$D$7:$D$21,Calcoli!$A$7:$A$21,C649),INDEX($T$5:$T$1004,P649)))</f>
        <v/>
      </c>
      <c r="S649" t="str">
        <f>IF(N649="","",IF(B649="Acquisto",Q649+N(D649),MAX(0,Q649-N(D649))))</f>
        <v/>
      </c>
      <c r="T649" t="str">
        <f>IF(N649="","",IF(B649="Acquisto",R649+J649+N(G649),IF(Q649&lt;=0,0,R649*(1-MIN(1,N(D649)/Q649)))))</f>
        <v/>
      </c>
      <c r="U649" t="str">
        <f>IF(B649&lt;&gt;"Vendita","",J649-N(G649)-IF(Q649&lt;=0,0,R649*MIN(1,N(D649)/Q649)))</f>
        <v/>
      </c>
      <c r="V649" t="str">
        <f>IF(B649&lt;&gt;"Dividendo","",IF(Calcoli!$B$251=1,J649,L649))</f>
        <v/>
      </c>
      <c r="W649" t="str">
        <f>IF(AND(V649&lt;&gt;"",ISNUMBER(A649)),A649,"")</f>
        <v/>
      </c>
    </row>
    <row r="650">
      <c r="A650" s="134" t="n"/>
      <c r="B650" s="116" t="n"/>
      <c r="C650" s="116" t="n"/>
      <c r="D650" s="121" t="n"/>
      <c r="E650" s="120" t="n"/>
      <c r="F650" s="120" t="n"/>
      <c r="G650" s="120" t="n"/>
      <c r="H650" s="120" t="n"/>
      <c r="I650" s="117" t="n"/>
      <c r="J650" s="123" t="str">
        <f>IF(B650="","",IF(F650&lt;&gt;"",N(F650),ROUND(N(D650)*N(E650),2)))</f>
        <v/>
      </c>
      <c r="K650" s="123" t="str">
        <f>IF(B650="","",IF(H650&lt;&gt;"",N(H650),IF(B650="Dividendo",ROUND(J650*IFERROR(INDEX(Calcoli!$V$7:$V$21,MATCH(C650,Calcoli!$A$7:$A$21,0)),0.26),2),IF(B650="Vendita",ROUND(MAX(0,U650)*IFERROR(INDEX(Calcoli!$V$7:$V$21,MATCH(C650,Calcoli!$A$7:$A$21,0)),0.26),2),0))))</f>
        <v/>
      </c>
      <c r="L650" s="135" t="str">
        <f>IF(B650="","",IF(B650="Acquisto",-(J650+N(G650)),J650-N(G650)-K650))</f>
        <v/>
      </c>
      <c r="M650" s="127" t="str">
        <f>IF(B650="","",IF(ISNA(MATCH(C650,ETF!$A$7:$A$21,0)),"ETF?",IF(NOT(ISNUMBER(A650)),"Data?",IF(AND(B650&lt;&gt;"Dividendo",N(D650)&lt;=0),"Quote?",IF(AND(B650="Vendita",N(D650)&gt;N(Q650)+0.000001),"Quote?",IF(J650&lt;=0,"Importo?","✓"))))))</f>
        <v/>
      </c>
      <c r="N650" t="str">
        <f>IF(OR(B650="Acquisto",B650="Vendita"),COUNTIFS($C$5:C650,C650,$B$5:B650,"Acquisto")+COUNTIFS($C$5:C650,C650,$B$5:B650,"Vendita"),"")</f>
        <v/>
      </c>
      <c r="O650" t="str">
        <f>IF(N650="","",C650&amp;"|"&amp;N650)</f>
        <v/>
      </c>
      <c r="P650" t="str">
        <f>IF(N650="","",IF(N650=1,0,MATCH(C650&amp;"|"&amp;(N650-1),$O$5:$O$1004,0)))</f>
        <v/>
      </c>
      <c r="Q650" t="str">
        <f>IF(N650="","",IF(P650=0,SUMIFS(Calcoli!$C$7:$C$21,Calcoli!$A$7:$A$21,C650),INDEX($S$5:$S$1004,P650)))</f>
        <v/>
      </c>
      <c r="R650" t="str">
        <f>IF(N650="","",IF(P650=0,SUMIFS(Calcoli!$D$7:$D$21,Calcoli!$A$7:$A$21,C650),INDEX($T$5:$T$1004,P650)))</f>
        <v/>
      </c>
      <c r="S650" t="str">
        <f>IF(N650="","",IF(B650="Acquisto",Q650+N(D650),MAX(0,Q650-N(D650))))</f>
        <v/>
      </c>
      <c r="T650" t="str">
        <f>IF(N650="","",IF(B650="Acquisto",R650+J650+N(G650),IF(Q650&lt;=0,0,R650*(1-MIN(1,N(D650)/Q650)))))</f>
        <v/>
      </c>
      <c r="U650" t="str">
        <f>IF(B650&lt;&gt;"Vendita","",J650-N(G650)-IF(Q650&lt;=0,0,R650*MIN(1,N(D650)/Q650)))</f>
        <v/>
      </c>
      <c r="V650" t="str">
        <f>IF(B650&lt;&gt;"Dividendo","",IF(Calcoli!$B$251=1,J650,L650))</f>
        <v/>
      </c>
      <c r="W650" t="str">
        <f>IF(AND(V650&lt;&gt;"",ISNUMBER(A650)),A650,"")</f>
        <v/>
      </c>
    </row>
    <row r="651">
      <c r="A651" s="134" t="n"/>
      <c r="B651" s="116" t="n"/>
      <c r="C651" s="116" t="n"/>
      <c r="D651" s="121" t="n"/>
      <c r="E651" s="120" t="n"/>
      <c r="F651" s="120" t="n"/>
      <c r="G651" s="120" t="n"/>
      <c r="H651" s="120" t="n"/>
      <c r="I651" s="117" t="n"/>
      <c r="J651" s="123" t="str">
        <f>IF(B651="","",IF(F651&lt;&gt;"",N(F651),ROUND(N(D651)*N(E651),2)))</f>
        <v/>
      </c>
      <c r="K651" s="123" t="str">
        <f>IF(B651="","",IF(H651&lt;&gt;"",N(H651),IF(B651="Dividendo",ROUND(J651*IFERROR(INDEX(Calcoli!$V$7:$V$21,MATCH(C651,Calcoli!$A$7:$A$21,0)),0.26),2),IF(B651="Vendita",ROUND(MAX(0,U651)*IFERROR(INDEX(Calcoli!$V$7:$V$21,MATCH(C651,Calcoli!$A$7:$A$21,0)),0.26),2),0))))</f>
        <v/>
      </c>
      <c r="L651" s="135" t="str">
        <f>IF(B651="","",IF(B651="Acquisto",-(J651+N(G651)),J651-N(G651)-K651))</f>
        <v/>
      </c>
      <c r="M651" s="127" t="str">
        <f>IF(B651="","",IF(ISNA(MATCH(C651,ETF!$A$7:$A$21,0)),"ETF?",IF(NOT(ISNUMBER(A651)),"Data?",IF(AND(B651&lt;&gt;"Dividendo",N(D651)&lt;=0),"Quote?",IF(AND(B651="Vendita",N(D651)&gt;N(Q651)+0.000001),"Quote?",IF(J651&lt;=0,"Importo?","✓"))))))</f>
        <v/>
      </c>
      <c r="N651" t="str">
        <f>IF(OR(B651="Acquisto",B651="Vendita"),COUNTIFS($C$5:C651,C651,$B$5:B651,"Acquisto")+COUNTIFS($C$5:C651,C651,$B$5:B651,"Vendita"),"")</f>
        <v/>
      </c>
      <c r="O651" t="str">
        <f>IF(N651="","",C651&amp;"|"&amp;N651)</f>
        <v/>
      </c>
      <c r="P651" t="str">
        <f>IF(N651="","",IF(N651=1,0,MATCH(C651&amp;"|"&amp;(N651-1),$O$5:$O$1004,0)))</f>
        <v/>
      </c>
      <c r="Q651" t="str">
        <f>IF(N651="","",IF(P651=0,SUMIFS(Calcoli!$C$7:$C$21,Calcoli!$A$7:$A$21,C651),INDEX($S$5:$S$1004,P651)))</f>
        <v/>
      </c>
      <c r="R651" t="str">
        <f>IF(N651="","",IF(P651=0,SUMIFS(Calcoli!$D$7:$D$21,Calcoli!$A$7:$A$21,C651),INDEX($T$5:$T$1004,P651)))</f>
        <v/>
      </c>
      <c r="S651" t="str">
        <f>IF(N651="","",IF(B651="Acquisto",Q651+N(D651),MAX(0,Q651-N(D651))))</f>
        <v/>
      </c>
      <c r="T651" t="str">
        <f>IF(N651="","",IF(B651="Acquisto",R651+J651+N(G651),IF(Q651&lt;=0,0,R651*(1-MIN(1,N(D651)/Q651)))))</f>
        <v/>
      </c>
      <c r="U651" t="str">
        <f>IF(B651&lt;&gt;"Vendita","",J651-N(G651)-IF(Q651&lt;=0,0,R651*MIN(1,N(D651)/Q651)))</f>
        <v/>
      </c>
      <c r="V651" t="str">
        <f>IF(B651&lt;&gt;"Dividendo","",IF(Calcoli!$B$251=1,J651,L651))</f>
        <v/>
      </c>
      <c r="W651" t="str">
        <f>IF(AND(V651&lt;&gt;"",ISNUMBER(A651)),A651,"")</f>
        <v/>
      </c>
    </row>
    <row r="652">
      <c r="A652" s="134" t="n"/>
      <c r="B652" s="116" t="n"/>
      <c r="C652" s="116" t="n"/>
      <c r="D652" s="121" t="n"/>
      <c r="E652" s="120" t="n"/>
      <c r="F652" s="120" t="n"/>
      <c r="G652" s="120" t="n"/>
      <c r="H652" s="120" t="n"/>
      <c r="I652" s="117" t="n"/>
      <c r="J652" s="123" t="str">
        <f>IF(B652="","",IF(F652&lt;&gt;"",N(F652),ROUND(N(D652)*N(E652),2)))</f>
        <v/>
      </c>
      <c r="K652" s="123" t="str">
        <f>IF(B652="","",IF(H652&lt;&gt;"",N(H652),IF(B652="Dividendo",ROUND(J652*IFERROR(INDEX(Calcoli!$V$7:$V$21,MATCH(C652,Calcoli!$A$7:$A$21,0)),0.26),2),IF(B652="Vendita",ROUND(MAX(0,U652)*IFERROR(INDEX(Calcoli!$V$7:$V$21,MATCH(C652,Calcoli!$A$7:$A$21,0)),0.26),2),0))))</f>
        <v/>
      </c>
      <c r="L652" s="135" t="str">
        <f>IF(B652="","",IF(B652="Acquisto",-(J652+N(G652)),J652-N(G652)-K652))</f>
        <v/>
      </c>
      <c r="M652" s="127" t="str">
        <f>IF(B652="","",IF(ISNA(MATCH(C652,ETF!$A$7:$A$21,0)),"ETF?",IF(NOT(ISNUMBER(A652)),"Data?",IF(AND(B652&lt;&gt;"Dividendo",N(D652)&lt;=0),"Quote?",IF(AND(B652="Vendita",N(D652)&gt;N(Q652)+0.000001),"Quote?",IF(J652&lt;=0,"Importo?","✓"))))))</f>
        <v/>
      </c>
      <c r="N652" t="str">
        <f>IF(OR(B652="Acquisto",B652="Vendita"),COUNTIFS($C$5:C652,C652,$B$5:B652,"Acquisto")+COUNTIFS($C$5:C652,C652,$B$5:B652,"Vendita"),"")</f>
        <v/>
      </c>
      <c r="O652" t="str">
        <f>IF(N652="","",C652&amp;"|"&amp;N652)</f>
        <v/>
      </c>
      <c r="P652" t="str">
        <f>IF(N652="","",IF(N652=1,0,MATCH(C652&amp;"|"&amp;(N652-1),$O$5:$O$1004,0)))</f>
        <v/>
      </c>
      <c r="Q652" t="str">
        <f>IF(N652="","",IF(P652=0,SUMIFS(Calcoli!$C$7:$C$21,Calcoli!$A$7:$A$21,C652),INDEX($S$5:$S$1004,P652)))</f>
        <v/>
      </c>
      <c r="R652" t="str">
        <f>IF(N652="","",IF(P652=0,SUMIFS(Calcoli!$D$7:$D$21,Calcoli!$A$7:$A$21,C652),INDEX($T$5:$T$1004,P652)))</f>
        <v/>
      </c>
      <c r="S652" t="str">
        <f>IF(N652="","",IF(B652="Acquisto",Q652+N(D652),MAX(0,Q652-N(D652))))</f>
        <v/>
      </c>
      <c r="T652" t="str">
        <f>IF(N652="","",IF(B652="Acquisto",R652+J652+N(G652),IF(Q652&lt;=0,0,R652*(1-MIN(1,N(D652)/Q652)))))</f>
        <v/>
      </c>
      <c r="U652" t="str">
        <f>IF(B652&lt;&gt;"Vendita","",J652-N(G652)-IF(Q652&lt;=0,0,R652*MIN(1,N(D652)/Q652)))</f>
        <v/>
      </c>
      <c r="V652" t="str">
        <f>IF(B652&lt;&gt;"Dividendo","",IF(Calcoli!$B$251=1,J652,L652))</f>
        <v/>
      </c>
      <c r="W652" t="str">
        <f>IF(AND(V652&lt;&gt;"",ISNUMBER(A652)),A652,"")</f>
        <v/>
      </c>
    </row>
    <row r="653">
      <c r="A653" s="134" t="n"/>
      <c r="B653" s="116" t="n"/>
      <c r="C653" s="116" t="n"/>
      <c r="D653" s="121" t="n"/>
      <c r="E653" s="120" t="n"/>
      <c r="F653" s="120" t="n"/>
      <c r="G653" s="120" t="n"/>
      <c r="H653" s="120" t="n"/>
      <c r="I653" s="117" t="n"/>
      <c r="J653" s="123" t="str">
        <f>IF(B653="","",IF(F653&lt;&gt;"",N(F653),ROUND(N(D653)*N(E653),2)))</f>
        <v/>
      </c>
      <c r="K653" s="123" t="str">
        <f>IF(B653="","",IF(H653&lt;&gt;"",N(H653),IF(B653="Dividendo",ROUND(J653*IFERROR(INDEX(Calcoli!$V$7:$V$21,MATCH(C653,Calcoli!$A$7:$A$21,0)),0.26),2),IF(B653="Vendita",ROUND(MAX(0,U653)*IFERROR(INDEX(Calcoli!$V$7:$V$21,MATCH(C653,Calcoli!$A$7:$A$21,0)),0.26),2),0))))</f>
        <v/>
      </c>
      <c r="L653" s="135" t="str">
        <f>IF(B653="","",IF(B653="Acquisto",-(J653+N(G653)),J653-N(G653)-K653))</f>
        <v/>
      </c>
      <c r="M653" s="127" t="str">
        <f>IF(B653="","",IF(ISNA(MATCH(C653,ETF!$A$7:$A$21,0)),"ETF?",IF(NOT(ISNUMBER(A653)),"Data?",IF(AND(B653&lt;&gt;"Dividendo",N(D653)&lt;=0),"Quote?",IF(AND(B653="Vendita",N(D653)&gt;N(Q653)+0.000001),"Quote?",IF(J653&lt;=0,"Importo?","✓"))))))</f>
        <v/>
      </c>
      <c r="N653" t="str">
        <f>IF(OR(B653="Acquisto",B653="Vendita"),COUNTIFS($C$5:C653,C653,$B$5:B653,"Acquisto")+COUNTIFS($C$5:C653,C653,$B$5:B653,"Vendita"),"")</f>
        <v/>
      </c>
      <c r="O653" t="str">
        <f>IF(N653="","",C653&amp;"|"&amp;N653)</f>
        <v/>
      </c>
      <c r="P653" t="str">
        <f>IF(N653="","",IF(N653=1,0,MATCH(C653&amp;"|"&amp;(N653-1),$O$5:$O$1004,0)))</f>
        <v/>
      </c>
      <c r="Q653" t="str">
        <f>IF(N653="","",IF(P653=0,SUMIFS(Calcoli!$C$7:$C$21,Calcoli!$A$7:$A$21,C653),INDEX($S$5:$S$1004,P653)))</f>
        <v/>
      </c>
      <c r="R653" t="str">
        <f>IF(N653="","",IF(P653=0,SUMIFS(Calcoli!$D$7:$D$21,Calcoli!$A$7:$A$21,C653),INDEX($T$5:$T$1004,P653)))</f>
        <v/>
      </c>
      <c r="S653" t="str">
        <f>IF(N653="","",IF(B653="Acquisto",Q653+N(D653),MAX(0,Q653-N(D653))))</f>
        <v/>
      </c>
      <c r="T653" t="str">
        <f>IF(N653="","",IF(B653="Acquisto",R653+J653+N(G653),IF(Q653&lt;=0,0,R653*(1-MIN(1,N(D653)/Q653)))))</f>
        <v/>
      </c>
      <c r="U653" t="str">
        <f>IF(B653&lt;&gt;"Vendita","",J653-N(G653)-IF(Q653&lt;=0,0,R653*MIN(1,N(D653)/Q653)))</f>
        <v/>
      </c>
      <c r="V653" t="str">
        <f>IF(B653&lt;&gt;"Dividendo","",IF(Calcoli!$B$251=1,J653,L653))</f>
        <v/>
      </c>
      <c r="W653" t="str">
        <f>IF(AND(V653&lt;&gt;"",ISNUMBER(A653)),A653,"")</f>
        <v/>
      </c>
    </row>
    <row r="654">
      <c r="A654" s="134" t="n"/>
      <c r="B654" s="116" t="n"/>
      <c r="C654" s="116" t="n"/>
      <c r="D654" s="121" t="n"/>
      <c r="E654" s="120" t="n"/>
      <c r="F654" s="120" t="n"/>
      <c r="G654" s="120" t="n"/>
      <c r="H654" s="120" t="n"/>
      <c r="I654" s="117" t="n"/>
      <c r="J654" s="123" t="str">
        <f>IF(B654="","",IF(F654&lt;&gt;"",N(F654),ROUND(N(D654)*N(E654),2)))</f>
        <v/>
      </c>
      <c r="K654" s="123" t="str">
        <f>IF(B654="","",IF(H654&lt;&gt;"",N(H654),IF(B654="Dividendo",ROUND(J654*IFERROR(INDEX(Calcoli!$V$7:$V$21,MATCH(C654,Calcoli!$A$7:$A$21,0)),0.26),2),IF(B654="Vendita",ROUND(MAX(0,U654)*IFERROR(INDEX(Calcoli!$V$7:$V$21,MATCH(C654,Calcoli!$A$7:$A$21,0)),0.26),2),0))))</f>
        <v/>
      </c>
      <c r="L654" s="135" t="str">
        <f>IF(B654="","",IF(B654="Acquisto",-(J654+N(G654)),J654-N(G654)-K654))</f>
        <v/>
      </c>
      <c r="M654" s="127" t="str">
        <f>IF(B654="","",IF(ISNA(MATCH(C654,ETF!$A$7:$A$21,0)),"ETF?",IF(NOT(ISNUMBER(A654)),"Data?",IF(AND(B654&lt;&gt;"Dividendo",N(D654)&lt;=0),"Quote?",IF(AND(B654="Vendita",N(D654)&gt;N(Q654)+0.000001),"Quote?",IF(J654&lt;=0,"Importo?","✓"))))))</f>
        <v/>
      </c>
      <c r="N654" t="str">
        <f>IF(OR(B654="Acquisto",B654="Vendita"),COUNTIFS($C$5:C654,C654,$B$5:B654,"Acquisto")+COUNTIFS($C$5:C654,C654,$B$5:B654,"Vendita"),"")</f>
        <v/>
      </c>
      <c r="O654" t="str">
        <f>IF(N654="","",C654&amp;"|"&amp;N654)</f>
        <v/>
      </c>
      <c r="P654" t="str">
        <f>IF(N654="","",IF(N654=1,0,MATCH(C654&amp;"|"&amp;(N654-1),$O$5:$O$1004,0)))</f>
        <v/>
      </c>
      <c r="Q654" t="str">
        <f>IF(N654="","",IF(P654=0,SUMIFS(Calcoli!$C$7:$C$21,Calcoli!$A$7:$A$21,C654),INDEX($S$5:$S$1004,P654)))</f>
        <v/>
      </c>
      <c r="R654" t="str">
        <f>IF(N654="","",IF(P654=0,SUMIFS(Calcoli!$D$7:$D$21,Calcoli!$A$7:$A$21,C654),INDEX($T$5:$T$1004,P654)))</f>
        <v/>
      </c>
      <c r="S654" t="str">
        <f>IF(N654="","",IF(B654="Acquisto",Q654+N(D654),MAX(0,Q654-N(D654))))</f>
        <v/>
      </c>
      <c r="T654" t="str">
        <f>IF(N654="","",IF(B654="Acquisto",R654+J654+N(G654),IF(Q654&lt;=0,0,R654*(1-MIN(1,N(D654)/Q654)))))</f>
        <v/>
      </c>
      <c r="U654" t="str">
        <f>IF(B654&lt;&gt;"Vendita","",J654-N(G654)-IF(Q654&lt;=0,0,R654*MIN(1,N(D654)/Q654)))</f>
        <v/>
      </c>
      <c r="V654" t="str">
        <f>IF(B654&lt;&gt;"Dividendo","",IF(Calcoli!$B$251=1,J654,L654))</f>
        <v/>
      </c>
      <c r="W654" t="str">
        <f>IF(AND(V654&lt;&gt;"",ISNUMBER(A654)),A654,"")</f>
        <v/>
      </c>
    </row>
    <row r="655">
      <c r="A655" s="134" t="n"/>
      <c r="B655" s="116" t="n"/>
      <c r="C655" s="116" t="n"/>
      <c r="D655" s="121" t="n"/>
      <c r="E655" s="120" t="n"/>
      <c r="F655" s="120" t="n"/>
      <c r="G655" s="120" t="n"/>
      <c r="H655" s="120" t="n"/>
      <c r="I655" s="117" t="n"/>
      <c r="J655" s="123" t="str">
        <f>IF(B655="","",IF(F655&lt;&gt;"",N(F655),ROUND(N(D655)*N(E655),2)))</f>
        <v/>
      </c>
      <c r="K655" s="123" t="str">
        <f>IF(B655="","",IF(H655&lt;&gt;"",N(H655),IF(B655="Dividendo",ROUND(J655*IFERROR(INDEX(Calcoli!$V$7:$V$21,MATCH(C655,Calcoli!$A$7:$A$21,0)),0.26),2),IF(B655="Vendita",ROUND(MAX(0,U655)*IFERROR(INDEX(Calcoli!$V$7:$V$21,MATCH(C655,Calcoli!$A$7:$A$21,0)),0.26),2),0))))</f>
        <v/>
      </c>
      <c r="L655" s="135" t="str">
        <f>IF(B655="","",IF(B655="Acquisto",-(J655+N(G655)),J655-N(G655)-K655))</f>
        <v/>
      </c>
      <c r="M655" s="127" t="str">
        <f>IF(B655="","",IF(ISNA(MATCH(C655,ETF!$A$7:$A$21,0)),"ETF?",IF(NOT(ISNUMBER(A655)),"Data?",IF(AND(B655&lt;&gt;"Dividendo",N(D655)&lt;=0),"Quote?",IF(AND(B655="Vendita",N(D655)&gt;N(Q655)+0.000001),"Quote?",IF(J655&lt;=0,"Importo?","✓"))))))</f>
        <v/>
      </c>
      <c r="N655" t="str">
        <f>IF(OR(B655="Acquisto",B655="Vendita"),COUNTIFS($C$5:C655,C655,$B$5:B655,"Acquisto")+COUNTIFS($C$5:C655,C655,$B$5:B655,"Vendita"),"")</f>
        <v/>
      </c>
      <c r="O655" t="str">
        <f>IF(N655="","",C655&amp;"|"&amp;N655)</f>
        <v/>
      </c>
      <c r="P655" t="str">
        <f>IF(N655="","",IF(N655=1,0,MATCH(C655&amp;"|"&amp;(N655-1),$O$5:$O$1004,0)))</f>
        <v/>
      </c>
      <c r="Q655" t="str">
        <f>IF(N655="","",IF(P655=0,SUMIFS(Calcoli!$C$7:$C$21,Calcoli!$A$7:$A$21,C655),INDEX($S$5:$S$1004,P655)))</f>
        <v/>
      </c>
      <c r="R655" t="str">
        <f>IF(N655="","",IF(P655=0,SUMIFS(Calcoli!$D$7:$D$21,Calcoli!$A$7:$A$21,C655),INDEX($T$5:$T$1004,P655)))</f>
        <v/>
      </c>
      <c r="S655" t="str">
        <f>IF(N655="","",IF(B655="Acquisto",Q655+N(D655),MAX(0,Q655-N(D655))))</f>
        <v/>
      </c>
      <c r="T655" t="str">
        <f>IF(N655="","",IF(B655="Acquisto",R655+J655+N(G655),IF(Q655&lt;=0,0,R655*(1-MIN(1,N(D655)/Q655)))))</f>
        <v/>
      </c>
      <c r="U655" t="str">
        <f>IF(B655&lt;&gt;"Vendita","",J655-N(G655)-IF(Q655&lt;=0,0,R655*MIN(1,N(D655)/Q655)))</f>
        <v/>
      </c>
      <c r="V655" t="str">
        <f>IF(B655&lt;&gt;"Dividendo","",IF(Calcoli!$B$251=1,J655,L655))</f>
        <v/>
      </c>
      <c r="W655" t="str">
        <f>IF(AND(V655&lt;&gt;"",ISNUMBER(A655)),A655,"")</f>
        <v/>
      </c>
    </row>
    <row r="656">
      <c r="A656" s="134" t="n"/>
      <c r="B656" s="116" t="n"/>
      <c r="C656" s="116" t="n"/>
      <c r="D656" s="121" t="n"/>
      <c r="E656" s="120" t="n"/>
      <c r="F656" s="120" t="n"/>
      <c r="G656" s="120" t="n"/>
      <c r="H656" s="120" t="n"/>
      <c r="I656" s="117" t="n"/>
      <c r="J656" s="123" t="str">
        <f>IF(B656="","",IF(F656&lt;&gt;"",N(F656),ROUND(N(D656)*N(E656),2)))</f>
        <v/>
      </c>
      <c r="K656" s="123" t="str">
        <f>IF(B656="","",IF(H656&lt;&gt;"",N(H656),IF(B656="Dividendo",ROUND(J656*IFERROR(INDEX(Calcoli!$V$7:$V$21,MATCH(C656,Calcoli!$A$7:$A$21,0)),0.26),2),IF(B656="Vendita",ROUND(MAX(0,U656)*IFERROR(INDEX(Calcoli!$V$7:$V$21,MATCH(C656,Calcoli!$A$7:$A$21,0)),0.26),2),0))))</f>
        <v/>
      </c>
      <c r="L656" s="135" t="str">
        <f>IF(B656="","",IF(B656="Acquisto",-(J656+N(G656)),J656-N(G656)-K656))</f>
        <v/>
      </c>
      <c r="M656" s="127" t="str">
        <f>IF(B656="","",IF(ISNA(MATCH(C656,ETF!$A$7:$A$21,0)),"ETF?",IF(NOT(ISNUMBER(A656)),"Data?",IF(AND(B656&lt;&gt;"Dividendo",N(D656)&lt;=0),"Quote?",IF(AND(B656="Vendita",N(D656)&gt;N(Q656)+0.000001),"Quote?",IF(J656&lt;=0,"Importo?","✓"))))))</f>
        <v/>
      </c>
      <c r="N656" t="str">
        <f>IF(OR(B656="Acquisto",B656="Vendita"),COUNTIFS($C$5:C656,C656,$B$5:B656,"Acquisto")+COUNTIFS($C$5:C656,C656,$B$5:B656,"Vendita"),"")</f>
        <v/>
      </c>
      <c r="O656" t="str">
        <f>IF(N656="","",C656&amp;"|"&amp;N656)</f>
        <v/>
      </c>
      <c r="P656" t="str">
        <f>IF(N656="","",IF(N656=1,0,MATCH(C656&amp;"|"&amp;(N656-1),$O$5:$O$1004,0)))</f>
        <v/>
      </c>
      <c r="Q656" t="str">
        <f>IF(N656="","",IF(P656=0,SUMIFS(Calcoli!$C$7:$C$21,Calcoli!$A$7:$A$21,C656),INDEX($S$5:$S$1004,P656)))</f>
        <v/>
      </c>
      <c r="R656" t="str">
        <f>IF(N656="","",IF(P656=0,SUMIFS(Calcoli!$D$7:$D$21,Calcoli!$A$7:$A$21,C656),INDEX($T$5:$T$1004,P656)))</f>
        <v/>
      </c>
      <c r="S656" t="str">
        <f>IF(N656="","",IF(B656="Acquisto",Q656+N(D656),MAX(0,Q656-N(D656))))</f>
        <v/>
      </c>
      <c r="T656" t="str">
        <f>IF(N656="","",IF(B656="Acquisto",R656+J656+N(G656),IF(Q656&lt;=0,0,R656*(1-MIN(1,N(D656)/Q656)))))</f>
        <v/>
      </c>
      <c r="U656" t="str">
        <f>IF(B656&lt;&gt;"Vendita","",J656-N(G656)-IF(Q656&lt;=0,0,R656*MIN(1,N(D656)/Q656)))</f>
        <v/>
      </c>
      <c r="V656" t="str">
        <f>IF(B656&lt;&gt;"Dividendo","",IF(Calcoli!$B$251=1,J656,L656))</f>
        <v/>
      </c>
      <c r="W656" t="str">
        <f>IF(AND(V656&lt;&gt;"",ISNUMBER(A656)),A656,"")</f>
        <v/>
      </c>
    </row>
    <row r="657">
      <c r="A657" s="134" t="n"/>
      <c r="B657" s="116" t="n"/>
      <c r="C657" s="116" t="n"/>
      <c r="D657" s="121" t="n"/>
      <c r="E657" s="120" t="n"/>
      <c r="F657" s="120" t="n"/>
      <c r="G657" s="120" t="n"/>
      <c r="H657" s="120" t="n"/>
      <c r="I657" s="117" t="n"/>
      <c r="J657" s="123" t="str">
        <f>IF(B657="","",IF(F657&lt;&gt;"",N(F657),ROUND(N(D657)*N(E657),2)))</f>
        <v/>
      </c>
      <c r="K657" s="123" t="str">
        <f>IF(B657="","",IF(H657&lt;&gt;"",N(H657),IF(B657="Dividendo",ROUND(J657*IFERROR(INDEX(Calcoli!$V$7:$V$21,MATCH(C657,Calcoli!$A$7:$A$21,0)),0.26),2),IF(B657="Vendita",ROUND(MAX(0,U657)*IFERROR(INDEX(Calcoli!$V$7:$V$21,MATCH(C657,Calcoli!$A$7:$A$21,0)),0.26),2),0))))</f>
        <v/>
      </c>
      <c r="L657" s="135" t="str">
        <f>IF(B657="","",IF(B657="Acquisto",-(J657+N(G657)),J657-N(G657)-K657))</f>
        <v/>
      </c>
      <c r="M657" s="127" t="str">
        <f>IF(B657="","",IF(ISNA(MATCH(C657,ETF!$A$7:$A$21,0)),"ETF?",IF(NOT(ISNUMBER(A657)),"Data?",IF(AND(B657&lt;&gt;"Dividendo",N(D657)&lt;=0),"Quote?",IF(AND(B657="Vendita",N(D657)&gt;N(Q657)+0.000001),"Quote?",IF(J657&lt;=0,"Importo?","✓"))))))</f>
        <v/>
      </c>
      <c r="N657" t="str">
        <f>IF(OR(B657="Acquisto",B657="Vendita"),COUNTIFS($C$5:C657,C657,$B$5:B657,"Acquisto")+COUNTIFS($C$5:C657,C657,$B$5:B657,"Vendita"),"")</f>
        <v/>
      </c>
      <c r="O657" t="str">
        <f>IF(N657="","",C657&amp;"|"&amp;N657)</f>
        <v/>
      </c>
      <c r="P657" t="str">
        <f>IF(N657="","",IF(N657=1,0,MATCH(C657&amp;"|"&amp;(N657-1),$O$5:$O$1004,0)))</f>
        <v/>
      </c>
      <c r="Q657" t="str">
        <f>IF(N657="","",IF(P657=0,SUMIFS(Calcoli!$C$7:$C$21,Calcoli!$A$7:$A$21,C657),INDEX($S$5:$S$1004,P657)))</f>
        <v/>
      </c>
      <c r="R657" t="str">
        <f>IF(N657="","",IF(P657=0,SUMIFS(Calcoli!$D$7:$D$21,Calcoli!$A$7:$A$21,C657),INDEX($T$5:$T$1004,P657)))</f>
        <v/>
      </c>
      <c r="S657" t="str">
        <f>IF(N657="","",IF(B657="Acquisto",Q657+N(D657),MAX(0,Q657-N(D657))))</f>
        <v/>
      </c>
      <c r="T657" t="str">
        <f>IF(N657="","",IF(B657="Acquisto",R657+J657+N(G657),IF(Q657&lt;=0,0,R657*(1-MIN(1,N(D657)/Q657)))))</f>
        <v/>
      </c>
      <c r="U657" t="str">
        <f>IF(B657&lt;&gt;"Vendita","",J657-N(G657)-IF(Q657&lt;=0,0,R657*MIN(1,N(D657)/Q657)))</f>
        <v/>
      </c>
      <c r="V657" t="str">
        <f>IF(B657&lt;&gt;"Dividendo","",IF(Calcoli!$B$251=1,J657,L657))</f>
        <v/>
      </c>
      <c r="W657" t="str">
        <f>IF(AND(V657&lt;&gt;"",ISNUMBER(A657)),A657,"")</f>
        <v/>
      </c>
    </row>
    <row r="658">
      <c r="A658" s="134" t="n"/>
      <c r="B658" s="116" t="n"/>
      <c r="C658" s="116" t="n"/>
      <c r="D658" s="121" t="n"/>
      <c r="E658" s="120" t="n"/>
      <c r="F658" s="120" t="n"/>
      <c r="G658" s="120" t="n"/>
      <c r="H658" s="120" t="n"/>
      <c r="I658" s="117" t="n"/>
      <c r="J658" s="123" t="str">
        <f>IF(B658="","",IF(F658&lt;&gt;"",N(F658),ROUND(N(D658)*N(E658),2)))</f>
        <v/>
      </c>
      <c r="K658" s="123" t="str">
        <f>IF(B658="","",IF(H658&lt;&gt;"",N(H658),IF(B658="Dividendo",ROUND(J658*IFERROR(INDEX(Calcoli!$V$7:$V$21,MATCH(C658,Calcoli!$A$7:$A$21,0)),0.26),2),IF(B658="Vendita",ROUND(MAX(0,U658)*IFERROR(INDEX(Calcoli!$V$7:$V$21,MATCH(C658,Calcoli!$A$7:$A$21,0)),0.26),2),0))))</f>
        <v/>
      </c>
      <c r="L658" s="135" t="str">
        <f>IF(B658="","",IF(B658="Acquisto",-(J658+N(G658)),J658-N(G658)-K658))</f>
        <v/>
      </c>
      <c r="M658" s="127" t="str">
        <f>IF(B658="","",IF(ISNA(MATCH(C658,ETF!$A$7:$A$21,0)),"ETF?",IF(NOT(ISNUMBER(A658)),"Data?",IF(AND(B658&lt;&gt;"Dividendo",N(D658)&lt;=0),"Quote?",IF(AND(B658="Vendita",N(D658)&gt;N(Q658)+0.000001),"Quote?",IF(J658&lt;=0,"Importo?","✓"))))))</f>
        <v/>
      </c>
      <c r="N658" t="str">
        <f>IF(OR(B658="Acquisto",B658="Vendita"),COUNTIFS($C$5:C658,C658,$B$5:B658,"Acquisto")+COUNTIFS($C$5:C658,C658,$B$5:B658,"Vendita"),"")</f>
        <v/>
      </c>
      <c r="O658" t="str">
        <f>IF(N658="","",C658&amp;"|"&amp;N658)</f>
        <v/>
      </c>
      <c r="P658" t="str">
        <f>IF(N658="","",IF(N658=1,0,MATCH(C658&amp;"|"&amp;(N658-1),$O$5:$O$1004,0)))</f>
        <v/>
      </c>
      <c r="Q658" t="str">
        <f>IF(N658="","",IF(P658=0,SUMIFS(Calcoli!$C$7:$C$21,Calcoli!$A$7:$A$21,C658),INDEX($S$5:$S$1004,P658)))</f>
        <v/>
      </c>
      <c r="R658" t="str">
        <f>IF(N658="","",IF(P658=0,SUMIFS(Calcoli!$D$7:$D$21,Calcoli!$A$7:$A$21,C658),INDEX($T$5:$T$1004,P658)))</f>
        <v/>
      </c>
      <c r="S658" t="str">
        <f>IF(N658="","",IF(B658="Acquisto",Q658+N(D658),MAX(0,Q658-N(D658))))</f>
        <v/>
      </c>
      <c r="T658" t="str">
        <f>IF(N658="","",IF(B658="Acquisto",R658+J658+N(G658),IF(Q658&lt;=0,0,R658*(1-MIN(1,N(D658)/Q658)))))</f>
        <v/>
      </c>
      <c r="U658" t="str">
        <f>IF(B658&lt;&gt;"Vendita","",J658-N(G658)-IF(Q658&lt;=0,0,R658*MIN(1,N(D658)/Q658)))</f>
        <v/>
      </c>
      <c r="V658" t="str">
        <f>IF(B658&lt;&gt;"Dividendo","",IF(Calcoli!$B$251=1,J658,L658))</f>
        <v/>
      </c>
      <c r="W658" t="str">
        <f>IF(AND(V658&lt;&gt;"",ISNUMBER(A658)),A658,"")</f>
        <v/>
      </c>
    </row>
    <row r="659">
      <c r="A659" s="134" t="n"/>
      <c r="B659" s="116" t="n"/>
      <c r="C659" s="116" t="n"/>
      <c r="D659" s="121" t="n"/>
      <c r="E659" s="120" t="n"/>
      <c r="F659" s="120" t="n"/>
      <c r="G659" s="120" t="n"/>
      <c r="H659" s="120" t="n"/>
      <c r="I659" s="117" t="n"/>
      <c r="J659" s="123" t="str">
        <f>IF(B659="","",IF(F659&lt;&gt;"",N(F659),ROUND(N(D659)*N(E659),2)))</f>
        <v/>
      </c>
      <c r="K659" s="123" t="str">
        <f>IF(B659="","",IF(H659&lt;&gt;"",N(H659),IF(B659="Dividendo",ROUND(J659*IFERROR(INDEX(Calcoli!$V$7:$V$21,MATCH(C659,Calcoli!$A$7:$A$21,0)),0.26),2),IF(B659="Vendita",ROUND(MAX(0,U659)*IFERROR(INDEX(Calcoli!$V$7:$V$21,MATCH(C659,Calcoli!$A$7:$A$21,0)),0.26),2),0))))</f>
        <v/>
      </c>
      <c r="L659" s="135" t="str">
        <f>IF(B659="","",IF(B659="Acquisto",-(J659+N(G659)),J659-N(G659)-K659))</f>
        <v/>
      </c>
      <c r="M659" s="127" t="str">
        <f>IF(B659="","",IF(ISNA(MATCH(C659,ETF!$A$7:$A$21,0)),"ETF?",IF(NOT(ISNUMBER(A659)),"Data?",IF(AND(B659&lt;&gt;"Dividendo",N(D659)&lt;=0),"Quote?",IF(AND(B659="Vendita",N(D659)&gt;N(Q659)+0.000001),"Quote?",IF(J659&lt;=0,"Importo?","✓"))))))</f>
        <v/>
      </c>
      <c r="N659" t="str">
        <f>IF(OR(B659="Acquisto",B659="Vendita"),COUNTIFS($C$5:C659,C659,$B$5:B659,"Acquisto")+COUNTIFS($C$5:C659,C659,$B$5:B659,"Vendita"),"")</f>
        <v/>
      </c>
      <c r="O659" t="str">
        <f>IF(N659="","",C659&amp;"|"&amp;N659)</f>
        <v/>
      </c>
      <c r="P659" t="str">
        <f>IF(N659="","",IF(N659=1,0,MATCH(C659&amp;"|"&amp;(N659-1),$O$5:$O$1004,0)))</f>
        <v/>
      </c>
      <c r="Q659" t="str">
        <f>IF(N659="","",IF(P659=0,SUMIFS(Calcoli!$C$7:$C$21,Calcoli!$A$7:$A$21,C659),INDEX($S$5:$S$1004,P659)))</f>
        <v/>
      </c>
      <c r="R659" t="str">
        <f>IF(N659="","",IF(P659=0,SUMIFS(Calcoli!$D$7:$D$21,Calcoli!$A$7:$A$21,C659),INDEX($T$5:$T$1004,P659)))</f>
        <v/>
      </c>
      <c r="S659" t="str">
        <f>IF(N659="","",IF(B659="Acquisto",Q659+N(D659),MAX(0,Q659-N(D659))))</f>
        <v/>
      </c>
      <c r="T659" t="str">
        <f>IF(N659="","",IF(B659="Acquisto",R659+J659+N(G659),IF(Q659&lt;=0,0,R659*(1-MIN(1,N(D659)/Q659)))))</f>
        <v/>
      </c>
      <c r="U659" t="str">
        <f>IF(B659&lt;&gt;"Vendita","",J659-N(G659)-IF(Q659&lt;=0,0,R659*MIN(1,N(D659)/Q659)))</f>
        <v/>
      </c>
      <c r="V659" t="str">
        <f>IF(B659&lt;&gt;"Dividendo","",IF(Calcoli!$B$251=1,J659,L659))</f>
        <v/>
      </c>
      <c r="W659" t="str">
        <f>IF(AND(V659&lt;&gt;"",ISNUMBER(A659)),A659,"")</f>
        <v/>
      </c>
    </row>
    <row r="660">
      <c r="A660" s="134" t="n"/>
      <c r="B660" s="116" t="n"/>
      <c r="C660" s="116" t="n"/>
      <c r="D660" s="121" t="n"/>
      <c r="E660" s="120" t="n"/>
      <c r="F660" s="120" t="n"/>
      <c r="G660" s="120" t="n"/>
      <c r="H660" s="120" t="n"/>
      <c r="I660" s="117" t="n"/>
      <c r="J660" s="123" t="str">
        <f>IF(B660="","",IF(F660&lt;&gt;"",N(F660),ROUND(N(D660)*N(E660),2)))</f>
        <v/>
      </c>
      <c r="K660" s="123" t="str">
        <f>IF(B660="","",IF(H660&lt;&gt;"",N(H660),IF(B660="Dividendo",ROUND(J660*IFERROR(INDEX(Calcoli!$V$7:$V$21,MATCH(C660,Calcoli!$A$7:$A$21,0)),0.26),2),IF(B660="Vendita",ROUND(MAX(0,U660)*IFERROR(INDEX(Calcoli!$V$7:$V$21,MATCH(C660,Calcoli!$A$7:$A$21,0)),0.26),2),0))))</f>
        <v/>
      </c>
      <c r="L660" s="135" t="str">
        <f>IF(B660="","",IF(B660="Acquisto",-(J660+N(G660)),J660-N(G660)-K660))</f>
        <v/>
      </c>
      <c r="M660" s="127" t="str">
        <f>IF(B660="","",IF(ISNA(MATCH(C660,ETF!$A$7:$A$21,0)),"ETF?",IF(NOT(ISNUMBER(A660)),"Data?",IF(AND(B660&lt;&gt;"Dividendo",N(D660)&lt;=0),"Quote?",IF(AND(B660="Vendita",N(D660)&gt;N(Q660)+0.000001),"Quote?",IF(J660&lt;=0,"Importo?","✓"))))))</f>
        <v/>
      </c>
      <c r="N660" t="str">
        <f>IF(OR(B660="Acquisto",B660="Vendita"),COUNTIFS($C$5:C660,C660,$B$5:B660,"Acquisto")+COUNTIFS($C$5:C660,C660,$B$5:B660,"Vendita"),"")</f>
        <v/>
      </c>
      <c r="O660" t="str">
        <f>IF(N660="","",C660&amp;"|"&amp;N660)</f>
        <v/>
      </c>
      <c r="P660" t="str">
        <f>IF(N660="","",IF(N660=1,0,MATCH(C660&amp;"|"&amp;(N660-1),$O$5:$O$1004,0)))</f>
        <v/>
      </c>
      <c r="Q660" t="str">
        <f>IF(N660="","",IF(P660=0,SUMIFS(Calcoli!$C$7:$C$21,Calcoli!$A$7:$A$21,C660),INDEX($S$5:$S$1004,P660)))</f>
        <v/>
      </c>
      <c r="R660" t="str">
        <f>IF(N660="","",IF(P660=0,SUMIFS(Calcoli!$D$7:$D$21,Calcoli!$A$7:$A$21,C660),INDEX($T$5:$T$1004,P660)))</f>
        <v/>
      </c>
      <c r="S660" t="str">
        <f>IF(N660="","",IF(B660="Acquisto",Q660+N(D660),MAX(0,Q660-N(D660))))</f>
        <v/>
      </c>
      <c r="T660" t="str">
        <f>IF(N660="","",IF(B660="Acquisto",R660+J660+N(G660),IF(Q660&lt;=0,0,R660*(1-MIN(1,N(D660)/Q660)))))</f>
        <v/>
      </c>
      <c r="U660" t="str">
        <f>IF(B660&lt;&gt;"Vendita","",J660-N(G660)-IF(Q660&lt;=0,0,R660*MIN(1,N(D660)/Q660)))</f>
        <v/>
      </c>
      <c r="V660" t="str">
        <f>IF(B660&lt;&gt;"Dividendo","",IF(Calcoli!$B$251=1,J660,L660))</f>
        <v/>
      </c>
      <c r="W660" t="str">
        <f>IF(AND(V660&lt;&gt;"",ISNUMBER(A660)),A660,"")</f>
        <v/>
      </c>
    </row>
    <row r="661">
      <c r="A661" s="134" t="n"/>
      <c r="B661" s="116" t="n"/>
      <c r="C661" s="116" t="n"/>
      <c r="D661" s="121" t="n"/>
      <c r="E661" s="120" t="n"/>
      <c r="F661" s="120" t="n"/>
      <c r="G661" s="120" t="n"/>
      <c r="H661" s="120" t="n"/>
      <c r="I661" s="117" t="n"/>
      <c r="J661" s="123" t="str">
        <f>IF(B661="","",IF(F661&lt;&gt;"",N(F661),ROUND(N(D661)*N(E661),2)))</f>
        <v/>
      </c>
      <c r="K661" s="123" t="str">
        <f>IF(B661="","",IF(H661&lt;&gt;"",N(H661),IF(B661="Dividendo",ROUND(J661*IFERROR(INDEX(Calcoli!$V$7:$V$21,MATCH(C661,Calcoli!$A$7:$A$21,0)),0.26),2),IF(B661="Vendita",ROUND(MAX(0,U661)*IFERROR(INDEX(Calcoli!$V$7:$V$21,MATCH(C661,Calcoli!$A$7:$A$21,0)),0.26),2),0))))</f>
        <v/>
      </c>
      <c r="L661" s="135" t="str">
        <f>IF(B661="","",IF(B661="Acquisto",-(J661+N(G661)),J661-N(G661)-K661))</f>
        <v/>
      </c>
      <c r="M661" s="127" t="str">
        <f>IF(B661="","",IF(ISNA(MATCH(C661,ETF!$A$7:$A$21,0)),"ETF?",IF(NOT(ISNUMBER(A661)),"Data?",IF(AND(B661&lt;&gt;"Dividendo",N(D661)&lt;=0),"Quote?",IF(AND(B661="Vendita",N(D661)&gt;N(Q661)+0.000001),"Quote?",IF(J661&lt;=0,"Importo?","✓"))))))</f>
        <v/>
      </c>
      <c r="N661" t="str">
        <f>IF(OR(B661="Acquisto",B661="Vendita"),COUNTIFS($C$5:C661,C661,$B$5:B661,"Acquisto")+COUNTIFS($C$5:C661,C661,$B$5:B661,"Vendita"),"")</f>
        <v/>
      </c>
      <c r="O661" t="str">
        <f>IF(N661="","",C661&amp;"|"&amp;N661)</f>
        <v/>
      </c>
      <c r="P661" t="str">
        <f>IF(N661="","",IF(N661=1,0,MATCH(C661&amp;"|"&amp;(N661-1),$O$5:$O$1004,0)))</f>
        <v/>
      </c>
      <c r="Q661" t="str">
        <f>IF(N661="","",IF(P661=0,SUMIFS(Calcoli!$C$7:$C$21,Calcoli!$A$7:$A$21,C661),INDEX($S$5:$S$1004,P661)))</f>
        <v/>
      </c>
      <c r="R661" t="str">
        <f>IF(N661="","",IF(P661=0,SUMIFS(Calcoli!$D$7:$D$21,Calcoli!$A$7:$A$21,C661),INDEX($T$5:$T$1004,P661)))</f>
        <v/>
      </c>
      <c r="S661" t="str">
        <f>IF(N661="","",IF(B661="Acquisto",Q661+N(D661),MAX(0,Q661-N(D661))))</f>
        <v/>
      </c>
      <c r="T661" t="str">
        <f>IF(N661="","",IF(B661="Acquisto",R661+J661+N(G661),IF(Q661&lt;=0,0,R661*(1-MIN(1,N(D661)/Q661)))))</f>
        <v/>
      </c>
      <c r="U661" t="str">
        <f>IF(B661&lt;&gt;"Vendita","",J661-N(G661)-IF(Q661&lt;=0,0,R661*MIN(1,N(D661)/Q661)))</f>
        <v/>
      </c>
      <c r="V661" t="str">
        <f>IF(B661&lt;&gt;"Dividendo","",IF(Calcoli!$B$251=1,J661,L661))</f>
        <v/>
      </c>
      <c r="W661" t="str">
        <f>IF(AND(V661&lt;&gt;"",ISNUMBER(A661)),A661,"")</f>
        <v/>
      </c>
    </row>
    <row r="662">
      <c r="A662" s="134" t="n"/>
      <c r="B662" s="116" t="n"/>
      <c r="C662" s="116" t="n"/>
      <c r="D662" s="121" t="n"/>
      <c r="E662" s="120" t="n"/>
      <c r="F662" s="120" t="n"/>
      <c r="G662" s="120" t="n"/>
      <c r="H662" s="120" t="n"/>
      <c r="I662" s="117" t="n"/>
      <c r="J662" s="123" t="str">
        <f>IF(B662="","",IF(F662&lt;&gt;"",N(F662),ROUND(N(D662)*N(E662),2)))</f>
        <v/>
      </c>
      <c r="K662" s="123" t="str">
        <f>IF(B662="","",IF(H662&lt;&gt;"",N(H662),IF(B662="Dividendo",ROUND(J662*IFERROR(INDEX(Calcoli!$V$7:$V$21,MATCH(C662,Calcoli!$A$7:$A$21,0)),0.26),2),IF(B662="Vendita",ROUND(MAX(0,U662)*IFERROR(INDEX(Calcoli!$V$7:$V$21,MATCH(C662,Calcoli!$A$7:$A$21,0)),0.26),2),0))))</f>
        <v/>
      </c>
      <c r="L662" s="135" t="str">
        <f>IF(B662="","",IF(B662="Acquisto",-(J662+N(G662)),J662-N(G662)-K662))</f>
        <v/>
      </c>
      <c r="M662" s="127" t="str">
        <f>IF(B662="","",IF(ISNA(MATCH(C662,ETF!$A$7:$A$21,0)),"ETF?",IF(NOT(ISNUMBER(A662)),"Data?",IF(AND(B662&lt;&gt;"Dividendo",N(D662)&lt;=0),"Quote?",IF(AND(B662="Vendita",N(D662)&gt;N(Q662)+0.000001),"Quote?",IF(J662&lt;=0,"Importo?","✓"))))))</f>
        <v/>
      </c>
      <c r="N662" t="str">
        <f>IF(OR(B662="Acquisto",B662="Vendita"),COUNTIFS($C$5:C662,C662,$B$5:B662,"Acquisto")+COUNTIFS($C$5:C662,C662,$B$5:B662,"Vendita"),"")</f>
        <v/>
      </c>
      <c r="O662" t="str">
        <f>IF(N662="","",C662&amp;"|"&amp;N662)</f>
        <v/>
      </c>
      <c r="P662" t="str">
        <f>IF(N662="","",IF(N662=1,0,MATCH(C662&amp;"|"&amp;(N662-1),$O$5:$O$1004,0)))</f>
        <v/>
      </c>
      <c r="Q662" t="str">
        <f>IF(N662="","",IF(P662=0,SUMIFS(Calcoli!$C$7:$C$21,Calcoli!$A$7:$A$21,C662),INDEX($S$5:$S$1004,P662)))</f>
        <v/>
      </c>
      <c r="R662" t="str">
        <f>IF(N662="","",IF(P662=0,SUMIFS(Calcoli!$D$7:$D$21,Calcoli!$A$7:$A$21,C662),INDEX($T$5:$T$1004,P662)))</f>
        <v/>
      </c>
      <c r="S662" t="str">
        <f>IF(N662="","",IF(B662="Acquisto",Q662+N(D662),MAX(0,Q662-N(D662))))</f>
        <v/>
      </c>
      <c r="T662" t="str">
        <f>IF(N662="","",IF(B662="Acquisto",R662+J662+N(G662),IF(Q662&lt;=0,0,R662*(1-MIN(1,N(D662)/Q662)))))</f>
        <v/>
      </c>
      <c r="U662" t="str">
        <f>IF(B662&lt;&gt;"Vendita","",J662-N(G662)-IF(Q662&lt;=0,0,R662*MIN(1,N(D662)/Q662)))</f>
        <v/>
      </c>
      <c r="V662" t="str">
        <f>IF(B662&lt;&gt;"Dividendo","",IF(Calcoli!$B$251=1,J662,L662))</f>
        <v/>
      </c>
      <c r="W662" t="str">
        <f>IF(AND(V662&lt;&gt;"",ISNUMBER(A662)),A662,"")</f>
        <v/>
      </c>
    </row>
    <row r="663">
      <c r="A663" s="134" t="n"/>
      <c r="B663" s="116" t="n"/>
      <c r="C663" s="116" t="n"/>
      <c r="D663" s="121" t="n"/>
      <c r="E663" s="120" t="n"/>
      <c r="F663" s="120" t="n"/>
      <c r="G663" s="120" t="n"/>
      <c r="H663" s="120" t="n"/>
      <c r="I663" s="117" t="n"/>
      <c r="J663" s="123" t="str">
        <f>IF(B663="","",IF(F663&lt;&gt;"",N(F663),ROUND(N(D663)*N(E663),2)))</f>
        <v/>
      </c>
      <c r="K663" s="123" t="str">
        <f>IF(B663="","",IF(H663&lt;&gt;"",N(H663),IF(B663="Dividendo",ROUND(J663*IFERROR(INDEX(Calcoli!$V$7:$V$21,MATCH(C663,Calcoli!$A$7:$A$21,0)),0.26),2),IF(B663="Vendita",ROUND(MAX(0,U663)*IFERROR(INDEX(Calcoli!$V$7:$V$21,MATCH(C663,Calcoli!$A$7:$A$21,0)),0.26),2),0))))</f>
        <v/>
      </c>
      <c r="L663" s="135" t="str">
        <f>IF(B663="","",IF(B663="Acquisto",-(J663+N(G663)),J663-N(G663)-K663))</f>
        <v/>
      </c>
      <c r="M663" s="127" t="str">
        <f>IF(B663="","",IF(ISNA(MATCH(C663,ETF!$A$7:$A$21,0)),"ETF?",IF(NOT(ISNUMBER(A663)),"Data?",IF(AND(B663&lt;&gt;"Dividendo",N(D663)&lt;=0),"Quote?",IF(AND(B663="Vendita",N(D663)&gt;N(Q663)+0.000001),"Quote?",IF(J663&lt;=0,"Importo?","✓"))))))</f>
        <v/>
      </c>
      <c r="N663" t="str">
        <f>IF(OR(B663="Acquisto",B663="Vendita"),COUNTIFS($C$5:C663,C663,$B$5:B663,"Acquisto")+COUNTIFS($C$5:C663,C663,$B$5:B663,"Vendita"),"")</f>
        <v/>
      </c>
      <c r="O663" t="str">
        <f>IF(N663="","",C663&amp;"|"&amp;N663)</f>
        <v/>
      </c>
      <c r="P663" t="str">
        <f>IF(N663="","",IF(N663=1,0,MATCH(C663&amp;"|"&amp;(N663-1),$O$5:$O$1004,0)))</f>
        <v/>
      </c>
      <c r="Q663" t="str">
        <f>IF(N663="","",IF(P663=0,SUMIFS(Calcoli!$C$7:$C$21,Calcoli!$A$7:$A$21,C663),INDEX($S$5:$S$1004,P663)))</f>
        <v/>
      </c>
      <c r="R663" t="str">
        <f>IF(N663="","",IF(P663=0,SUMIFS(Calcoli!$D$7:$D$21,Calcoli!$A$7:$A$21,C663),INDEX($T$5:$T$1004,P663)))</f>
        <v/>
      </c>
      <c r="S663" t="str">
        <f>IF(N663="","",IF(B663="Acquisto",Q663+N(D663),MAX(0,Q663-N(D663))))</f>
        <v/>
      </c>
      <c r="T663" t="str">
        <f>IF(N663="","",IF(B663="Acquisto",R663+J663+N(G663),IF(Q663&lt;=0,0,R663*(1-MIN(1,N(D663)/Q663)))))</f>
        <v/>
      </c>
      <c r="U663" t="str">
        <f>IF(B663&lt;&gt;"Vendita","",J663-N(G663)-IF(Q663&lt;=0,0,R663*MIN(1,N(D663)/Q663)))</f>
        <v/>
      </c>
      <c r="V663" t="str">
        <f>IF(B663&lt;&gt;"Dividendo","",IF(Calcoli!$B$251=1,J663,L663))</f>
        <v/>
      </c>
      <c r="W663" t="str">
        <f>IF(AND(V663&lt;&gt;"",ISNUMBER(A663)),A663,"")</f>
        <v/>
      </c>
    </row>
    <row r="664">
      <c r="A664" s="134" t="n"/>
      <c r="B664" s="116" t="n"/>
      <c r="C664" s="116" t="n"/>
      <c r="D664" s="121" t="n"/>
      <c r="E664" s="120" t="n"/>
      <c r="F664" s="120" t="n"/>
      <c r="G664" s="120" t="n"/>
      <c r="H664" s="120" t="n"/>
      <c r="I664" s="117" t="n"/>
      <c r="J664" s="123" t="str">
        <f>IF(B664="","",IF(F664&lt;&gt;"",N(F664),ROUND(N(D664)*N(E664),2)))</f>
        <v/>
      </c>
      <c r="K664" s="123" t="str">
        <f>IF(B664="","",IF(H664&lt;&gt;"",N(H664),IF(B664="Dividendo",ROUND(J664*IFERROR(INDEX(Calcoli!$V$7:$V$21,MATCH(C664,Calcoli!$A$7:$A$21,0)),0.26),2),IF(B664="Vendita",ROUND(MAX(0,U664)*IFERROR(INDEX(Calcoli!$V$7:$V$21,MATCH(C664,Calcoli!$A$7:$A$21,0)),0.26),2),0))))</f>
        <v/>
      </c>
      <c r="L664" s="135" t="str">
        <f>IF(B664="","",IF(B664="Acquisto",-(J664+N(G664)),J664-N(G664)-K664))</f>
        <v/>
      </c>
      <c r="M664" s="127" t="str">
        <f>IF(B664="","",IF(ISNA(MATCH(C664,ETF!$A$7:$A$21,0)),"ETF?",IF(NOT(ISNUMBER(A664)),"Data?",IF(AND(B664&lt;&gt;"Dividendo",N(D664)&lt;=0),"Quote?",IF(AND(B664="Vendita",N(D664)&gt;N(Q664)+0.000001),"Quote?",IF(J664&lt;=0,"Importo?","✓"))))))</f>
        <v/>
      </c>
      <c r="N664" t="str">
        <f>IF(OR(B664="Acquisto",B664="Vendita"),COUNTIFS($C$5:C664,C664,$B$5:B664,"Acquisto")+COUNTIFS($C$5:C664,C664,$B$5:B664,"Vendita"),"")</f>
        <v/>
      </c>
      <c r="O664" t="str">
        <f>IF(N664="","",C664&amp;"|"&amp;N664)</f>
        <v/>
      </c>
      <c r="P664" t="str">
        <f>IF(N664="","",IF(N664=1,0,MATCH(C664&amp;"|"&amp;(N664-1),$O$5:$O$1004,0)))</f>
        <v/>
      </c>
      <c r="Q664" t="str">
        <f>IF(N664="","",IF(P664=0,SUMIFS(Calcoli!$C$7:$C$21,Calcoli!$A$7:$A$21,C664),INDEX($S$5:$S$1004,P664)))</f>
        <v/>
      </c>
      <c r="R664" t="str">
        <f>IF(N664="","",IF(P664=0,SUMIFS(Calcoli!$D$7:$D$21,Calcoli!$A$7:$A$21,C664),INDEX($T$5:$T$1004,P664)))</f>
        <v/>
      </c>
      <c r="S664" t="str">
        <f>IF(N664="","",IF(B664="Acquisto",Q664+N(D664),MAX(0,Q664-N(D664))))</f>
        <v/>
      </c>
      <c r="T664" t="str">
        <f>IF(N664="","",IF(B664="Acquisto",R664+J664+N(G664),IF(Q664&lt;=0,0,R664*(1-MIN(1,N(D664)/Q664)))))</f>
        <v/>
      </c>
      <c r="U664" t="str">
        <f>IF(B664&lt;&gt;"Vendita","",J664-N(G664)-IF(Q664&lt;=0,0,R664*MIN(1,N(D664)/Q664)))</f>
        <v/>
      </c>
      <c r="V664" t="str">
        <f>IF(B664&lt;&gt;"Dividendo","",IF(Calcoli!$B$251=1,J664,L664))</f>
        <v/>
      </c>
      <c r="W664" t="str">
        <f>IF(AND(V664&lt;&gt;"",ISNUMBER(A664)),A664,"")</f>
        <v/>
      </c>
    </row>
    <row r="665">
      <c r="A665" s="134" t="n"/>
      <c r="B665" s="116" t="n"/>
      <c r="C665" s="116" t="n"/>
      <c r="D665" s="121" t="n"/>
      <c r="E665" s="120" t="n"/>
      <c r="F665" s="120" t="n"/>
      <c r="G665" s="120" t="n"/>
      <c r="H665" s="120" t="n"/>
      <c r="I665" s="117" t="n"/>
      <c r="J665" s="123" t="str">
        <f>IF(B665="","",IF(F665&lt;&gt;"",N(F665),ROUND(N(D665)*N(E665),2)))</f>
        <v/>
      </c>
      <c r="K665" s="123" t="str">
        <f>IF(B665="","",IF(H665&lt;&gt;"",N(H665),IF(B665="Dividendo",ROUND(J665*IFERROR(INDEX(Calcoli!$V$7:$V$21,MATCH(C665,Calcoli!$A$7:$A$21,0)),0.26),2),IF(B665="Vendita",ROUND(MAX(0,U665)*IFERROR(INDEX(Calcoli!$V$7:$V$21,MATCH(C665,Calcoli!$A$7:$A$21,0)),0.26),2),0))))</f>
        <v/>
      </c>
      <c r="L665" s="135" t="str">
        <f>IF(B665="","",IF(B665="Acquisto",-(J665+N(G665)),J665-N(G665)-K665))</f>
        <v/>
      </c>
      <c r="M665" s="127" t="str">
        <f>IF(B665="","",IF(ISNA(MATCH(C665,ETF!$A$7:$A$21,0)),"ETF?",IF(NOT(ISNUMBER(A665)),"Data?",IF(AND(B665&lt;&gt;"Dividendo",N(D665)&lt;=0),"Quote?",IF(AND(B665="Vendita",N(D665)&gt;N(Q665)+0.000001),"Quote?",IF(J665&lt;=0,"Importo?","✓"))))))</f>
        <v/>
      </c>
      <c r="N665" t="str">
        <f>IF(OR(B665="Acquisto",B665="Vendita"),COUNTIFS($C$5:C665,C665,$B$5:B665,"Acquisto")+COUNTIFS($C$5:C665,C665,$B$5:B665,"Vendita"),"")</f>
        <v/>
      </c>
      <c r="O665" t="str">
        <f>IF(N665="","",C665&amp;"|"&amp;N665)</f>
        <v/>
      </c>
      <c r="P665" t="str">
        <f>IF(N665="","",IF(N665=1,0,MATCH(C665&amp;"|"&amp;(N665-1),$O$5:$O$1004,0)))</f>
        <v/>
      </c>
      <c r="Q665" t="str">
        <f>IF(N665="","",IF(P665=0,SUMIFS(Calcoli!$C$7:$C$21,Calcoli!$A$7:$A$21,C665),INDEX($S$5:$S$1004,P665)))</f>
        <v/>
      </c>
      <c r="R665" t="str">
        <f>IF(N665="","",IF(P665=0,SUMIFS(Calcoli!$D$7:$D$21,Calcoli!$A$7:$A$21,C665),INDEX($T$5:$T$1004,P665)))</f>
        <v/>
      </c>
      <c r="S665" t="str">
        <f>IF(N665="","",IF(B665="Acquisto",Q665+N(D665),MAX(0,Q665-N(D665))))</f>
        <v/>
      </c>
      <c r="T665" t="str">
        <f>IF(N665="","",IF(B665="Acquisto",R665+J665+N(G665),IF(Q665&lt;=0,0,R665*(1-MIN(1,N(D665)/Q665)))))</f>
        <v/>
      </c>
      <c r="U665" t="str">
        <f>IF(B665&lt;&gt;"Vendita","",J665-N(G665)-IF(Q665&lt;=0,0,R665*MIN(1,N(D665)/Q665)))</f>
        <v/>
      </c>
      <c r="V665" t="str">
        <f>IF(B665&lt;&gt;"Dividendo","",IF(Calcoli!$B$251=1,J665,L665))</f>
        <v/>
      </c>
      <c r="W665" t="str">
        <f>IF(AND(V665&lt;&gt;"",ISNUMBER(A665)),A665,"")</f>
        <v/>
      </c>
    </row>
    <row r="666">
      <c r="A666" s="134" t="n"/>
      <c r="B666" s="116" t="n"/>
      <c r="C666" s="116" t="n"/>
      <c r="D666" s="121" t="n"/>
      <c r="E666" s="120" t="n"/>
      <c r="F666" s="120" t="n"/>
      <c r="G666" s="120" t="n"/>
      <c r="H666" s="120" t="n"/>
      <c r="I666" s="117" t="n"/>
      <c r="J666" s="123" t="str">
        <f>IF(B666="","",IF(F666&lt;&gt;"",N(F666),ROUND(N(D666)*N(E666),2)))</f>
        <v/>
      </c>
      <c r="K666" s="123" t="str">
        <f>IF(B666="","",IF(H666&lt;&gt;"",N(H666),IF(B666="Dividendo",ROUND(J666*IFERROR(INDEX(Calcoli!$V$7:$V$21,MATCH(C666,Calcoli!$A$7:$A$21,0)),0.26),2),IF(B666="Vendita",ROUND(MAX(0,U666)*IFERROR(INDEX(Calcoli!$V$7:$V$21,MATCH(C666,Calcoli!$A$7:$A$21,0)),0.26),2),0))))</f>
        <v/>
      </c>
      <c r="L666" s="135" t="str">
        <f>IF(B666="","",IF(B666="Acquisto",-(J666+N(G666)),J666-N(G666)-K666))</f>
        <v/>
      </c>
      <c r="M666" s="127" t="str">
        <f>IF(B666="","",IF(ISNA(MATCH(C666,ETF!$A$7:$A$21,0)),"ETF?",IF(NOT(ISNUMBER(A666)),"Data?",IF(AND(B666&lt;&gt;"Dividendo",N(D666)&lt;=0),"Quote?",IF(AND(B666="Vendita",N(D666)&gt;N(Q666)+0.000001),"Quote?",IF(J666&lt;=0,"Importo?","✓"))))))</f>
        <v/>
      </c>
      <c r="N666" t="str">
        <f>IF(OR(B666="Acquisto",B666="Vendita"),COUNTIFS($C$5:C666,C666,$B$5:B666,"Acquisto")+COUNTIFS($C$5:C666,C666,$B$5:B666,"Vendita"),"")</f>
        <v/>
      </c>
      <c r="O666" t="str">
        <f>IF(N666="","",C666&amp;"|"&amp;N666)</f>
        <v/>
      </c>
      <c r="P666" t="str">
        <f>IF(N666="","",IF(N666=1,0,MATCH(C666&amp;"|"&amp;(N666-1),$O$5:$O$1004,0)))</f>
        <v/>
      </c>
      <c r="Q666" t="str">
        <f>IF(N666="","",IF(P666=0,SUMIFS(Calcoli!$C$7:$C$21,Calcoli!$A$7:$A$21,C666),INDEX($S$5:$S$1004,P666)))</f>
        <v/>
      </c>
      <c r="R666" t="str">
        <f>IF(N666="","",IF(P666=0,SUMIFS(Calcoli!$D$7:$D$21,Calcoli!$A$7:$A$21,C666),INDEX($T$5:$T$1004,P666)))</f>
        <v/>
      </c>
      <c r="S666" t="str">
        <f>IF(N666="","",IF(B666="Acquisto",Q666+N(D666),MAX(0,Q666-N(D666))))</f>
        <v/>
      </c>
      <c r="T666" t="str">
        <f>IF(N666="","",IF(B666="Acquisto",R666+J666+N(G666),IF(Q666&lt;=0,0,R666*(1-MIN(1,N(D666)/Q666)))))</f>
        <v/>
      </c>
      <c r="U666" t="str">
        <f>IF(B666&lt;&gt;"Vendita","",J666-N(G666)-IF(Q666&lt;=0,0,R666*MIN(1,N(D666)/Q666)))</f>
        <v/>
      </c>
      <c r="V666" t="str">
        <f>IF(B666&lt;&gt;"Dividendo","",IF(Calcoli!$B$251=1,J666,L666))</f>
        <v/>
      </c>
      <c r="W666" t="str">
        <f>IF(AND(V666&lt;&gt;"",ISNUMBER(A666)),A666,"")</f>
        <v/>
      </c>
    </row>
    <row r="667">
      <c r="A667" s="134" t="n"/>
      <c r="B667" s="116" t="n"/>
      <c r="C667" s="116" t="n"/>
      <c r="D667" s="121" t="n"/>
      <c r="E667" s="120" t="n"/>
      <c r="F667" s="120" t="n"/>
      <c r="G667" s="120" t="n"/>
      <c r="H667" s="120" t="n"/>
      <c r="I667" s="117" t="n"/>
      <c r="J667" s="123" t="str">
        <f>IF(B667="","",IF(F667&lt;&gt;"",N(F667),ROUND(N(D667)*N(E667),2)))</f>
        <v/>
      </c>
      <c r="K667" s="123" t="str">
        <f>IF(B667="","",IF(H667&lt;&gt;"",N(H667),IF(B667="Dividendo",ROUND(J667*IFERROR(INDEX(Calcoli!$V$7:$V$21,MATCH(C667,Calcoli!$A$7:$A$21,0)),0.26),2),IF(B667="Vendita",ROUND(MAX(0,U667)*IFERROR(INDEX(Calcoli!$V$7:$V$21,MATCH(C667,Calcoli!$A$7:$A$21,0)),0.26),2),0))))</f>
        <v/>
      </c>
      <c r="L667" s="135" t="str">
        <f>IF(B667="","",IF(B667="Acquisto",-(J667+N(G667)),J667-N(G667)-K667))</f>
        <v/>
      </c>
      <c r="M667" s="127" t="str">
        <f>IF(B667="","",IF(ISNA(MATCH(C667,ETF!$A$7:$A$21,0)),"ETF?",IF(NOT(ISNUMBER(A667)),"Data?",IF(AND(B667&lt;&gt;"Dividendo",N(D667)&lt;=0),"Quote?",IF(AND(B667="Vendita",N(D667)&gt;N(Q667)+0.000001),"Quote?",IF(J667&lt;=0,"Importo?","✓"))))))</f>
        <v/>
      </c>
      <c r="N667" t="str">
        <f>IF(OR(B667="Acquisto",B667="Vendita"),COUNTIFS($C$5:C667,C667,$B$5:B667,"Acquisto")+COUNTIFS($C$5:C667,C667,$B$5:B667,"Vendita"),"")</f>
        <v/>
      </c>
      <c r="O667" t="str">
        <f>IF(N667="","",C667&amp;"|"&amp;N667)</f>
        <v/>
      </c>
      <c r="P667" t="str">
        <f>IF(N667="","",IF(N667=1,0,MATCH(C667&amp;"|"&amp;(N667-1),$O$5:$O$1004,0)))</f>
        <v/>
      </c>
      <c r="Q667" t="str">
        <f>IF(N667="","",IF(P667=0,SUMIFS(Calcoli!$C$7:$C$21,Calcoli!$A$7:$A$21,C667),INDEX($S$5:$S$1004,P667)))</f>
        <v/>
      </c>
      <c r="R667" t="str">
        <f>IF(N667="","",IF(P667=0,SUMIFS(Calcoli!$D$7:$D$21,Calcoli!$A$7:$A$21,C667),INDEX($T$5:$T$1004,P667)))</f>
        <v/>
      </c>
      <c r="S667" t="str">
        <f>IF(N667="","",IF(B667="Acquisto",Q667+N(D667),MAX(0,Q667-N(D667))))</f>
        <v/>
      </c>
      <c r="T667" t="str">
        <f>IF(N667="","",IF(B667="Acquisto",R667+J667+N(G667),IF(Q667&lt;=0,0,R667*(1-MIN(1,N(D667)/Q667)))))</f>
        <v/>
      </c>
      <c r="U667" t="str">
        <f>IF(B667&lt;&gt;"Vendita","",J667-N(G667)-IF(Q667&lt;=0,0,R667*MIN(1,N(D667)/Q667)))</f>
        <v/>
      </c>
      <c r="V667" t="str">
        <f>IF(B667&lt;&gt;"Dividendo","",IF(Calcoli!$B$251=1,J667,L667))</f>
        <v/>
      </c>
      <c r="W667" t="str">
        <f>IF(AND(V667&lt;&gt;"",ISNUMBER(A667)),A667,"")</f>
        <v/>
      </c>
    </row>
    <row r="668">
      <c r="A668" s="134" t="n"/>
      <c r="B668" s="116" t="n"/>
      <c r="C668" s="116" t="n"/>
      <c r="D668" s="121" t="n"/>
      <c r="E668" s="120" t="n"/>
      <c r="F668" s="120" t="n"/>
      <c r="G668" s="120" t="n"/>
      <c r="H668" s="120" t="n"/>
      <c r="I668" s="117" t="n"/>
      <c r="J668" s="123" t="str">
        <f>IF(B668="","",IF(F668&lt;&gt;"",N(F668),ROUND(N(D668)*N(E668),2)))</f>
        <v/>
      </c>
      <c r="K668" s="123" t="str">
        <f>IF(B668="","",IF(H668&lt;&gt;"",N(H668),IF(B668="Dividendo",ROUND(J668*IFERROR(INDEX(Calcoli!$V$7:$V$21,MATCH(C668,Calcoli!$A$7:$A$21,0)),0.26),2),IF(B668="Vendita",ROUND(MAX(0,U668)*IFERROR(INDEX(Calcoli!$V$7:$V$21,MATCH(C668,Calcoli!$A$7:$A$21,0)),0.26),2),0))))</f>
        <v/>
      </c>
      <c r="L668" s="135" t="str">
        <f>IF(B668="","",IF(B668="Acquisto",-(J668+N(G668)),J668-N(G668)-K668))</f>
        <v/>
      </c>
      <c r="M668" s="127" t="str">
        <f>IF(B668="","",IF(ISNA(MATCH(C668,ETF!$A$7:$A$21,0)),"ETF?",IF(NOT(ISNUMBER(A668)),"Data?",IF(AND(B668&lt;&gt;"Dividendo",N(D668)&lt;=0),"Quote?",IF(AND(B668="Vendita",N(D668)&gt;N(Q668)+0.000001),"Quote?",IF(J668&lt;=0,"Importo?","✓"))))))</f>
        <v/>
      </c>
      <c r="N668" t="str">
        <f>IF(OR(B668="Acquisto",B668="Vendita"),COUNTIFS($C$5:C668,C668,$B$5:B668,"Acquisto")+COUNTIFS($C$5:C668,C668,$B$5:B668,"Vendita"),"")</f>
        <v/>
      </c>
      <c r="O668" t="str">
        <f>IF(N668="","",C668&amp;"|"&amp;N668)</f>
        <v/>
      </c>
      <c r="P668" t="str">
        <f>IF(N668="","",IF(N668=1,0,MATCH(C668&amp;"|"&amp;(N668-1),$O$5:$O$1004,0)))</f>
        <v/>
      </c>
      <c r="Q668" t="str">
        <f>IF(N668="","",IF(P668=0,SUMIFS(Calcoli!$C$7:$C$21,Calcoli!$A$7:$A$21,C668),INDEX($S$5:$S$1004,P668)))</f>
        <v/>
      </c>
      <c r="R668" t="str">
        <f>IF(N668="","",IF(P668=0,SUMIFS(Calcoli!$D$7:$D$21,Calcoli!$A$7:$A$21,C668),INDEX($T$5:$T$1004,P668)))</f>
        <v/>
      </c>
      <c r="S668" t="str">
        <f>IF(N668="","",IF(B668="Acquisto",Q668+N(D668),MAX(0,Q668-N(D668))))</f>
        <v/>
      </c>
      <c r="T668" t="str">
        <f>IF(N668="","",IF(B668="Acquisto",R668+J668+N(G668),IF(Q668&lt;=0,0,R668*(1-MIN(1,N(D668)/Q668)))))</f>
        <v/>
      </c>
      <c r="U668" t="str">
        <f>IF(B668&lt;&gt;"Vendita","",J668-N(G668)-IF(Q668&lt;=0,0,R668*MIN(1,N(D668)/Q668)))</f>
        <v/>
      </c>
      <c r="V668" t="str">
        <f>IF(B668&lt;&gt;"Dividendo","",IF(Calcoli!$B$251=1,J668,L668))</f>
        <v/>
      </c>
      <c r="W668" t="str">
        <f>IF(AND(V668&lt;&gt;"",ISNUMBER(A668)),A668,"")</f>
        <v/>
      </c>
    </row>
    <row r="669">
      <c r="A669" s="134" t="n"/>
      <c r="B669" s="116" t="n"/>
      <c r="C669" s="116" t="n"/>
      <c r="D669" s="121" t="n"/>
      <c r="E669" s="120" t="n"/>
      <c r="F669" s="120" t="n"/>
      <c r="G669" s="120" t="n"/>
      <c r="H669" s="120" t="n"/>
      <c r="I669" s="117" t="n"/>
      <c r="J669" s="123" t="str">
        <f>IF(B669="","",IF(F669&lt;&gt;"",N(F669),ROUND(N(D669)*N(E669),2)))</f>
        <v/>
      </c>
      <c r="K669" s="123" t="str">
        <f>IF(B669="","",IF(H669&lt;&gt;"",N(H669),IF(B669="Dividendo",ROUND(J669*IFERROR(INDEX(Calcoli!$V$7:$V$21,MATCH(C669,Calcoli!$A$7:$A$21,0)),0.26),2),IF(B669="Vendita",ROUND(MAX(0,U669)*IFERROR(INDEX(Calcoli!$V$7:$V$21,MATCH(C669,Calcoli!$A$7:$A$21,0)),0.26),2),0))))</f>
        <v/>
      </c>
      <c r="L669" s="135" t="str">
        <f>IF(B669="","",IF(B669="Acquisto",-(J669+N(G669)),J669-N(G669)-K669))</f>
        <v/>
      </c>
      <c r="M669" s="127" t="str">
        <f>IF(B669="","",IF(ISNA(MATCH(C669,ETF!$A$7:$A$21,0)),"ETF?",IF(NOT(ISNUMBER(A669)),"Data?",IF(AND(B669&lt;&gt;"Dividendo",N(D669)&lt;=0),"Quote?",IF(AND(B669="Vendita",N(D669)&gt;N(Q669)+0.000001),"Quote?",IF(J669&lt;=0,"Importo?","✓"))))))</f>
        <v/>
      </c>
      <c r="N669" t="str">
        <f>IF(OR(B669="Acquisto",B669="Vendita"),COUNTIFS($C$5:C669,C669,$B$5:B669,"Acquisto")+COUNTIFS($C$5:C669,C669,$B$5:B669,"Vendita"),"")</f>
        <v/>
      </c>
      <c r="O669" t="str">
        <f>IF(N669="","",C669&amp;"|"&amp;N669)</f>
        <v/>
      </c>
      <c r="P669" t="str">
        <f>IF(N669="","",IF(N669=1,0,MATCH(C669&amp;"|"&amp;(N669-1),$O$5:$O$1004,0)))</f>
        <v/>
      </c>
      <c r="Q669" t="str">
        <f>IF(N669="","",IF(P669=0,SUMIFS(Calcoli!$C$7:$C$21,Calcoli!$A$7:$A$21,C669),INDEX($S$5:$S$1004,P669)))</f>
        <v/>
      </c>
      <c r="R669" t="str">
        <f>IF(N669="","",IF(P669=0,SUMIFS(Calcoli!$D$7:$D$21,Calcoli!$A$7:$A$21,C669),INDEX($T$5:$T$1004,P669)))</f>
        <v/>
      </c>
      <c r="S669" t="str">
        <f>IF(N669="","",IF(B669="Acquisto",Q669+N(D669),MAX(0,Q669-N(D669))))</f>
        <v/>
      </c>
      <c r="T669" t="str">
        <f>IF(N669="","",IF(B669="Acquisto",R669+J669+N(G669),IF(Q669&lt;=0,0,R669*(1-MIN(1,N(D669)/Q669)))))</f>
        <v/>
      </c>
      <c r="U669" t="str">
        <f>IF(B669&lt;&gt;"Vendita","",J669-N(G669)-IF(Q669&lt;=0,0,R669*MIN(1,N(D669)/Q669)))</f>
        <v/>
      </c>
      <c r="V669" t="str">
        <f>IF(B669&lt;&gt;"Dividendo","",IF(Calcoli!$B$251=1,J669,L669))</f>
        <v/>
      </c>
      <c r="W669" t="str">
        <f>IF(AND(V669&lt;&gt;"",ISNUMBER(A669)),A669,"")</f>
        <v/>
      </c>
    </row>
    <row r="670">
      <c r="A670" s="134" t="n"/>
      <c r="B670" s="116" t="n"/>
      <c r="C670" s="116" t="n"/>
      <c r="D670" s="121" t="n"/>
      <c r="E670" s="120" t="n"/>
      <c r="F670" s="120" t="n"/>
      <c r="G670" s="120" t="n"/>
      <c r="H670" s="120" t="n"/>
      <c r="I670" s="117" t="n"/>
      <c r="J670" s="123" t="str">
        <f>IF(B670="","",IF(F670&lt;&gt;"",N(F670),ROUND(N(D670)*N(E670),2)))</f>
        <v/>
      </c>
      <c r="K670" s="123" t="str">
        <f>IF(B670="","",IF(H670&lt;&gt;"",N(H670),IF(B670="Dividendo",ROUND(J670*IFERROR(INDEX(Calcoli!$V$7:$V$21,MATCH(C670,Calcoli!$A$7:$A$21,0)),0.26),2),IF(B670="Vendita",ROUND(MAX(0,U670)*IFERROR(INDEX(Calcoli!$V$7:$V$21,MATCH(C670,Calcoli!$A$7:$A$21,0)),0.26),2),0))))</f>
        <v/>
      </c>
      <c r="L670" s="135" t="str">
        <f>IF(B670="","",IF(B670="Acquisto",-(J670+N(G670)),J670-N(G670)-K670))</f>
        <v/>
      </c>
      <c r="M670" s="127" t="str">
        <f>IF(B670="","",IF(ISNA(MATCH(C670,ETF!$A$7:$A$21,0)),"ETF?",IF(NOT(ISNUMBER(A670)),"Data?",IF(AND(B670&lt;&gt;"Dividendo",N(D670)&lt;=0),"Quote?",IF(AND(B670="Vendita",N(D670)&gt;N(Q670)+0.000001),"Quote?",IF(J670&lt;=0,"Importo?","✓"))))))</f>
        <v/>
      </c>
      <c r="N670" t="str">
        <f>IF(OR(B670="Acquisto",B670="Vendita"),COUNTIFS($C$5:C670,C670,$B$5:B670,"Acquisto")+COUNTIFS($C$5:C670,C670,$B$5:B670,"Vendita"),"")</f>
        <v/>
      </c>
      <c r="O670" t="str">
        <f>IF(N670="","",C670&amp;"|"&amp;N670)</f>
        <v/>
      </c>
      <c r="P670" t="str">
        <f>IF(N670="","",IF(N670=1,0,MATCH(C670&amp;"|"&amp;(N670-1),$O$5:$O$1004,0)))</f>
        <v/>
      </c>
      <c r="Q670" t="str">
        <f>IF(N670="","",IF(P670=0,SUMIFS(Calcoli!$C$7:$C$21,Calcoli!$A$7:$A$21,C670),INDEX($S$5:$S$1004,P670)))</f>
        <v/>
      </c>
      <c r="R670" t="str">
        <f>IF(N670="","",IF(P670=0,SUMIFS(Calcoli!$D$7:$D$21,Calcoli!$A$7:$A$21,C670),INDEX($T$5:$T$1004,P670)))</f>
        <v/>
      </c>
      <c r="S670" t="str">
        <f>IF(N670="","",IF(B670="Acquisto",Q670+N(D670),MAX(0,Q670-N(D670))))</f>
        <v/>
      </c>
      <c r="T670" t="str">
        <f>IF(N670="","",IF(B670="Acquisto",R670+J670+N(G670),IF(Q670&lt;=0,0,R670*(1-MIN(1,N(D670)/Q670)))))</f>
        <v/>
      </c>
      <c r="U670" t="str">
        <f>IF(B670&lt;&gt;"Vendita","",J670-N(G670)-IF(Q670&lt;=0,0,R670*MIN(1,N(D670)/Q670)))</f>
        <v/>
      </c>
      <c r="V670" t="str">
        <f>IF(B670&lt;&gt;"Dividendo","",IF(Calcoli!$B$251=1,J670,L670))</f>
        <v/>
      </c>
      <c r="W670" t="str">
        <f>IF(AND(V670&lt;&gt;"",ISNUMBER(A670)),A670,"")</f>
        <v/>
      </c>
    </row>
    <row r="671">
      <c r="A671" s="134" t="n"/>
      <c r="B671" s="116" t="n"/>
      <c r="C671" s="116" t="n"/>
      <c r="D671" s="121" t="n"/>
      <c r="E671" s="120" t="n"/>
      <c r="F671" s="120" t="n"/>
      <c r="G671" s="120" t="n"/>
      <c r="H671" s="120" t="n"/>
      <c r="I671" s="117" t="n"/>
      <c r="J671" s="123" t="str">
        <f>IF(B671="","",IF(F671&lt;&gt;"",N(F671),ROUND(N(D671)*N(E671),2)))</f>
        <v/>
      </c>
      <c r="K671" s="123" t="str">
        <f>IF(B671="","",IF(H671&lt;&gt;"",N(H671),IF(B671="Dividendo",ROUND(J671*IFERROR(INDEX(Calcoli!$V$7:$V$21,MATCH(C671,Calcoli!$A$7:$A$21,0)),0.26),2),IF(B671="Vendita",ROUND(MAX(0,U671)*IFERROR(INDEX(Calcoli!$V$7:$V$21,MATCH(C671,Calcoli!$A$7:$A$21,0)),0.26),2),0))))</f>
        <v/>
      </c>
      <c r="L671" s="135" t="str">
        <f>IF(B671="","",IF(B671="Acquisto",-(J671+N(G671)),J671-N(G671)-K671))</f>
        <v/>
      </c>
      <c r="M671" s="127" t="str">
        <f>IF(B671="","",IF(ISNA(MATCH(C671,ETF!$A$7:$A$21,0)),"ETF?",IF(NOT(ISNUMBER(A671)),"Data?",IF(AND(B671&lt;&gt;"Dividendo",N(D671)&lt;=0),"Quote?",IF(AND(B671="Vendita",N(D671)&gt;N(Q671)+0.000001),"Quote?",IF(J671&lt;=0,"Importo?","✓"))))))</f>
        <v/>
      </c>
      <c r="N671" t="str">
        <f>IF(OR(B671="Acquisto",B671="Vendita"),COUNTIFS($C$5:C671,C671,$B$5:B671,"Acquisto")+COUNTIFS($C$5:C671,C671,$B$5:B671,"Vendita"),"")</f>
        <v/>
      </c>
      <c r="O671" t="str">
        <f>IF(N671="","",C671&amp;"|"&amp;N671)</f>
        <v/>
      </c>
      <c r="P671" t="str">
        <f>IF(N671="","",IF(N671=1,0,MATCH(C671&amp;"|"&amp;(N671-1),$O$5:$O$1004,0)))</f>
        <v/>
      </c>
      <c r="Q671" t="str">
        <f>IF(N671="","",IF(P671=0,SUMIFS(Calcoli!$C$7:$C$21,Calcoli!$A$7:$A$21,C671),INDEX($S$5:$S$1004,P671)))</f>
        <v/>
      </c>
      <c r="R671" t="str">
        <f>IF(N671="","",IF(P671=0,SUMIFS(Calcoli!$D$7:$D$21,Calcoli!$A$7:$A$21,C671),INDEX($T$5:$T$1004,P671)))</f>
        <v/>
      </c>
      <c r="S671" t="str">
        <f>IF(N671="","",IF(B671="Acquisto",Q671+N(D671),MAX(0,Q671-N(D671))))</f>
        <v/>
      </c>
      <c r="T671" t="str">
        <f>IF(N671="","",IF(B671="Acquisto",R671+J671+N(G671),IF(Q671&lt;=0,0,R671*(1-MIN(1,N(D671)/Q671)))))</f>
        <v/>
      </c>
      <c r="U671" t="str">
        <f>IF(B671&lt;&gt;"Vendita","",J671-N(G671)-IF(Q671&lt;=0,0,R671*MIN(1,N(D671)/Q671)))</f>
        <v/>
      </c>
      <c r="V671" t="str">
        <f>IF(B671&lt;&gt;"Dividendo","",IF(Calcoli!$B$251=1,J671,L671))</f>
        <v/>
      </c>
      <c r="W671" t="str">
        <f>IF(AND(V671&lt;&gt;"",ISNUMBER(A671)),A671,"")</f>
        <v/>
      </c>
    </row>
    <row r="672">
      <c r="A672" s="134" t="n"/>
      <c r="B672" s="116" t="n"/>
      <c r="C672" s="116" t="n"/>
      <c r="D672" s="121" t="n"/>
      <c r="E672" s="120" t="n"/>
      <c r="F672" s="120" t="n"/>
      <c r="G672" s="120" t="n"/>
      <c r="H672" s="120" t="n"/>
      <c r="I672" s="117" t="n"/>
      <c r="J672" s="123" t="str">
        <f>IF(B672="","",IF(F672&lt;&gt;"",N(F672),ROUND(N(D672)*N(E672),2)))</f>
        <v/>
      </c>
      <c r="K672" s="123" t="str">
        <f>IF(B672="","",IF(H672&lt;&gt;"",N(H672),IF(B672="Dividendo",ROUND(J672*IFERROR(INDEX(Calcoli!$V$7:$V$21,MATCH(C672,Calcoli!$A$7:$A$21,0)),0.26),2),IF(B672="Vendita",ROUND(MAX(0,U672)*IFERROR(INDEX(Calcoli!$V$7:$V$21,MATCH(C672,Calcoli!$A$7:$A$21,0)),0.26),2),0))))</f>
        <v/>
      </c>
      <c r="L672" s="135" t="str">
        <f>IF(B672="","",IF(B672="Acquisto",-(J672+N(G672)),J672-N(G672)-K672))</f>
        <v/>
      </c>
      <c r="M672" s="127" t="str">
        <f>IF(B672="","",IF(ISNA(MATCH(C672,ETF!$A$7:$A$21,0)),"ETF?",IF(NOT(ISNUMBER(A672)),"Data?",IF(AND(B672&lt;&gt;"Dividendo",N(D672)&lt;=0),"Quote?",IF(AND(B672="Vendita",N(D672)&gt;N(Q672)+0.000001),"Quote?",IF(J672&lt;=0,"Importo?","✓"))))))</f>
        <v/>
      </c>
      <c r="N672" t="str">
        <f>IF(OR(B672="Acquisto",B672="Vendita"),COUNTIFS($C$5:C672,C672,$B$5:B672,"Acquisto")+COUNTIFS($C$5:C672,C672,$B$5:B672,"Vendita"),"")</f>
        <v/>
      </c>
      <c r="O672" t="str">
        <f>IF(N672="","",C672&amp;"|"&amp;N672)</f>
        <v/>
      </c>
      <c r="P672" t="str">
        <f>IF(N672="","",IF(N672=1,0,MATCH(C672&amp;"|"&amp;(N672-1),$O$5:$O$1004,0)))</f>
        <v/>
      </c>
      <c r="Q672" t="str">
        <f>IF(N672="","",IF(P672=0,SUMIFS(Calcoli!$C$7:$C$21,Calcoli!$A$7:$A$21,C672),INDEX($S$5:$S$1004,P672)))</f>
        <v/>
      </c>
      <c r="R672" t="str">
        <f>IF(N672="","",IF(P672=0,SUMIFS(Calcoli!$D$7:$D$21,Calcoli!$A$7:$A$21,C672),INDEX($T$5:$T$1004,P672)))</f>
        <v/>
      </c>
      <c r="S672" t="str">
        <f>IF(N672="","",IF(B672="Acquisto",Q672+N(D672),MAX(0,Q672-N(D672))))</f>
        <v/>
      </c>
      <c r="T672" t="str">
        <f>IF(N672="","",IF(B672="Acquisto",R672+J672+N(G672),IF(Q672&lt;=0,0,R672*(1-MIN(1,N(D672)/Q672)))))</f>
        <v/>
      </c>
      <c r="U672" t="str">
        <f>IF(B672&lt;&gt;"Vendita","",J672-N(G672)-IF(Q672&lt;=0,0,R672*MIN(1,N(D672)/Q672)))</f>
        <v/>
      </c>
      <c r="V672" t="str">
        <f>IF(B672&lt;&gt;"Dividendo","",IF(Calcoli!$B$251=1,J672,L672))</f>
        <v/>
      </c>
      <c r="W672" t="str">
        <f>IF(AND(V672&lt;&gt;"",ISNUMBER(A672)),A672,"")</f>
        <v/>
      </c>
    </row>
    <row r="673">
      <c r="A673" s="134" t="n"/>
      <c r="B673" s="116" t="n"/>
      <c r="C673" s="116" t="n"/>
      <c r="D673" s="121" t="n"/>
      <c r="E673" s="120" t="n"/>
      <c r="F673" s="120" t="n"/>
      <c r="G673" s="120" t="n"/>
      <c r="H673" s="120" t="n"/>
      <c r="I673" s="117" t="n"/>
      <c r="J673" s="123" t="str">
        <f>IF(B673="","",IF(F673&lt;&gt;"",N(F673),ROUND(N(D673)*N(E673),2)))</f>
        <v/>
      </c>
      <c r="K673" s="123" t="str">
        <f>IF(B673="","",IF(H673&lt;&gt;"",N(H673),IF(B673="Dividendo",ROUND(J673*IFERROR(INDEX(Calcoli!$V$7:$V$21,MATCH(C673,Calcoli!$A$7:$A$21,0)),0.26),2),IF(B673="Vendita",ROUND(MAX(0,U673)*IFERROR(INDEX(Calcoli!$V$7:$V$21,MATCH(C673,Calcoli!$A$7:$A$21,0)),0.26),2),0))))</f>
        <v/>
      </c>
      <c r="L673" s="135" t="str">
        <f>IF(B673="","",IF(B673="Acquisto",-(J673+N(G673)),J673-N(G673)-K673))</f>
        <v/>
      </c>
      <c r="M673" s="127" t="str">
        <f>IF(B673="","",IF(ISNA(MATCH(C673,ETF!$A$7:$A$21,0)),"ETF?",IF(NOT(ISNUMBER(A673)),"Data?",IF(AND(B673&lt;&gt;"Dividendo",N(D673)&lt;=0),"Quote?",IF(AND(B673="Vendita",N(D673)&gt;N(Q673)+0.000001),"Quote?",IF(J673&lt;=0,"Importo?","✓"))))))</f>
        <v/>
      </c>
      <c r="N673" t="str">
        <f>IF(OR(B673="Acquisto",B673="Vendita"),COUNTIFS($C$5:C673,C673,$B$5:B673,"Acquisto")+COUNTIFS($C$5:C673,C673,$B$5:B673,"Vendita"),"")</f>
        <v/>
      </c>
      <c r="O673" t="str">
        <f>IF(N673="","",C673&amp;"|"&amp;N673)</f>
        <v/>
      </c>
      <c r="P673" t="str">
        <f>IF(N673="","",IF(N673=1,0,MATCH(C673&amp;"|"&amp;(N673-1),$O$5:$O$1004,0)))</f>
        <v/>
      </c>
      <c r="Q673" t="str">
        <f>IF(N673="","",IF(P673=0,SUMIFS(Calcoli!$C$7:$C$21,Calcoli!$A$7:$A$21,C673),INDEX($S$5:$S$1004,P673)))</f>
        <v/>
      </c>
      <c r="R673" t="str">
        <f>IF(N673="","",IF(P673=0,SUMIFS(Calcoli!$D$7:$D$21,Calcoli!$A$7:$A$21,C673),INDEX($T$5:$T$1004,P673)))</f>
        <v/>
      </c>
      <c r="S673" t="str">
        <f>IF(N673="","",IF(B673="Acquisto",Q673+N(D673),MAX(0,Q673-N(D673))))</f>
        <v/>
      </c>
      <c r="T673" t="str">
        <f>IF(N673="","",IF(B673="Acquisto",R673+J673+N(G673),IF(Q673&lt;=0,0,R673*(1-MIN(1,N(D673)/Q673)))))</f>
        <v/>
      </c>
      <c r="U673" t="str">
        <f>IF(B673&lt;&gt;"Vendita","",J673-N(G673)-IF(Q673&lt;=0,0,R673*MIN(1,N(D673)/Q673)))</f>
        <v/>
      </c>
      <c r="V673" t="str">
        <f>IF(B673&lt;&gt;"Dividendo","",IF(Calcoli!$B$251=1,J673,L673))</f>
        <v/>
      </c>
      <c r="W673" t="str">
        <f>IF(AND(V673&lt;&gt;"",ISNUMBER(A673)),A673,"")</f>
        <v/>
      </c>
    </row>
    <row r="674">
      <c r="A674" s="134" t="n"/>
      <c r="B674" s="116" t="n"/>
      <c r="C674" s="116" t="n"/>
      <c r="D674" s="121" t="n"/>
      <c r="E674" s="120" t="n"/>
      <c r="F674" s="120" t="n"/>
      <c r="G674" s="120" t="n"/>
      <c r="H674" s="120" t="n"/>
      <c r="I674" s="117" t="n"/>
      <c r="J674" s="123" t="str">
        <f>IF(B674="","",IF(F674&lt;&gt;"",N(F674),ROUND(N(D674)*N(E674),2)))</f>
        <v/>
      </c>
      <c r="K674" s="123" t="str">
        <f>IF(B674="","",IF(H674&lt;&gt;"",N(H674),IF(B674="Dividendo",ROUND(J674*IFERROR(INDEX(Calcoli!$V$7:$V$21,MATCH(C674,Calcoli!$A$7:$A$21,0)),0.26),2),IF(B674="Vendita",ROUND(MAX(0,U674)*IFERROR(INDEX(Calcoli!$V$7:$V$21,MATCH(C674,Calcoli!$A$7:$A$21,0)),0.26),2),0))))</f>
        <v/>
      </c>
      <c r="L674" s="135" t="str">
        <f>IF(B674="","",IF(B674="Acquisto",-(J674+N(G674)),J674-N(G674)-K674))</f>
        <v/>
      </c>
      <c r="M674" s="127" t="str">
        <f>IF(B674="","",IF(ISNA(MATCH(C674,ETF!$A$7:$A$21,0)),"ETF?",IF(NOT(ISNUMBER(A674)),"Data?",IF(AND(B674&lt;&gt;"Dividendo",N(D674)&lt;=0),"Quote?",IF(AND(B674="Vendita",N(D674)&gt;N(Q674)+0.000001),"Quote?",IF(J674&lt;=0,"Importo?","✓"))))))</f>
        <v/>
      </c>
      <c r="N674" t="str">
        <f>IF(OR(B674="Acquisto",B674="Vendita"),COUNTIFS($C$5:C674,C674,$B$5:B674,"Acquisto")+COUNTIFS($C$5:C674,C674,$B$5:B674,"Vendita"),"")</f>
        <v/>
      </c>
      <c r="O674" t="str">
        <f>IF(N674="","",C674&amp;"|"&amp;N674)</f>
        <v/>
      </c>
      <c r="P674" t="str">
        <f>IF(N674="","",IF(N674=1,0,MATCH(C674&amp;"|"&amp;(N674-1),$O$5:$O$1004,0)))</f>
        <v/>
      </c>
      <c r="Q674" t="str">
        <f>IF(N674="","",IF(P674=0,SUMIFS(Calcoli!$C$7:$C$21,Calcoli!$A$7:$A$21,C674),INDEX($S$5:$S$1004,P674)))</f>
        <v/>
      </c>
      <c r="R674" t="str">
        <f>IF(N674="","",IF(P674=0,SUMIFS(Calcoli!$D$7:$D$21,Calcoli!$A$7:$A$21,C674),INDEX($T$5:$T$1004,P674)))</f>
        <v/>
      </c>
      <c r="S674" t="str">
        <f>IF(N674="","",IF(B674="Acquisto",Q674+N(D674),MAX(0,Q674-N(D674))))</f>
        <v/>
      </c>
      <c r="T674" t="str">
        <f>IF(N674="","",IF(B674="Acquisto",R674+J674+N(G674),IF(Q674&lt;=0,0,R674*(1-MIN(1,N(D674)/Q674)))))</f>
        <v/>
      </c>
      <c r="U674" t="str">
        <f>IF(B674&lt;&gt;"Vendita","",J674-N(G674)-IF(Q674&lt;=0,0,R674*MIN(1,N(D674)/Q674)))</f>
        <v/>
      </c>
      <c r="V674" t="str">
        <f>IF(B674&lt;&gt;"Dividendo","",IF(Calcoli!$B$251=1,J674,L674))</f>
        <v/>
      </c>
      <c r="W674" t="str">
        <f>IF(AND(V674&lt;&gt;"",ISNUMBER(A674)),A674,"")</f>
        <v/>
      </c>
    </row>
    <row r="675">
      <c r="A675" s="134" t="n"/>
      <c r="B675" s="116" t="n"/>
      <c r="C675" s="116" t="n"/>
      <c r="D675" s="121" t="n"/>
      <c r="E675" s="120" t="n"/>
      <c r="F675" s="120" t="n"/>
      <c r="G675" s="120" t="n"/>
      <c r="H675" s="120" t="n"/>
      <c r="I675" s="117" t="n"/>
      <c r="J675" s="123" t="str">
        <f>IF(B675="","",IF(F675&lt;&gt;"",N(F675),ROUND(N(D675)*N(E675),2)))</f>
        <v/>
      </c>
      <c r="K675" s="123" t="str">
        <f>IF(B675="","",IF(H675&lt;&gt;"",N(H675),IF(B675="Dividendo",ROUND(J675*IFERROR(INDEX(Calcoli!$V$7:$V$21,MATCH(C675,Calcoli!$A$7:$A$21,0)),0.26),2),IF(B675="Vendita",ROUND(MAX(0,U675)*IFERROR(INDEX(Calcoli!$V$7:$V$21,MATCH(C675,Calcoli!$A$7:$A$21,0)),0.26),2),0))))</f>
        <v/>
      </c>
      <c r="L675" s="135" t="str">
        <f>IF(B675="","",IF(B675="Acquisto",-(J675+N(G675)),J675-N(G675)-K675))</f>
        <v/>
      </c>
      <c r="M675" s="127" t="str">
        <f>IF(B675="","",IF(ISNA(MATCH(C675,ETF!$A$7:$A$21,0)),"ETF?",IF(NOT(ISNUMBER(A675)),"Data?",IF(AND(B675&lt;&gt;"Dividendo",N(D675)&lt;=0),"Quote?",IF(AND(B675="Vendita",N(D675)&gt;N(Q675)+0.000001),"Quote?",IF(J675&lt;=0,"Importo?","✓"))))))</f>
        <v/>
      </c>
      <c r="N675" t="str">
        <f>IF(OR(B675="Acquisto",B675="Vendita"),COUNTIFS($C$5:C675,C675,$B$5:B675,"Acquisto")+COUNTIFS($C$5:C675,C675,$B$5:B675,"Vendita"),"")</f>
        <v/>
      </c>
      <c r="O675" t="str">
        <f>IF(N675="","",C675&amp;"|"&amp;N675)</f>
        <v/>
      </c>
      <c r="P675" t="str">
        <f>IF(N675="","",IF(N675=1,0,MATCH(C675&amp;"|"&amp;(N675-1),$O$5:$O$1004,0)))</f>
        <v/>
      </c>
      <c r="Q675" t="str">
        <f>IF(N675="","",IF(P675=0,SUMIFS(Calcoli!$C$7:$C$21,Calcoli!$A$7:$A$21,C675),INDEX($S$5:$S$1004,P675)))</f>
        <v/>
      </c>
      <c r="R675" t="str">
        <f>IF(N675="","",IF(P675=0,SUMIFS(Calcoli!$D$7:$D$21,Calcoli!$A$7:$A$21,C675),INDEX($T$5:$T$1004,P675)))</f>
        <v/>
      </c>
      <c r="S675" t="str">
        <f>IF(N675="","",IF(B675="Acquisto",Q675+N(D675),MAX(0,Q675-N(D675))))</f>
        <v/>
      </c>
      <c r="T675" t="str">
        <f>IF(N675="","",IF(B675="Acquisto",R675+J675+N(G675),IF(Q675&lt;=0,0,R675*(1-MIN(1,N(D675)/Q675)))))</f>
        <v/>
      </c>
      <c r="U675" t="str">
        <f>IF(B675&lt;&gt;"Vendita","",J675-N(G675)-IF(Q675&lt;=0,0,R675*MIN(1,N(D675)/Q675)))</f>
        <v/>
      </c>
      <c r="V675" t="str">
        <f>IF(B675&lt;&gt;"Dividendo","",IF(Calcoli!$B$251=1,J675,L675))</f>
        <v/>
      </c>
      <c r="W675" t="str">
        <f>IF(AND(V675&lt;&gt;"",ISNUMBER(A675)),A675,"")</f>
        <v/>
      </c>
    </row>
    <row r="676">
      <c r="A676" s="134" t="n"/>
      <c r="B676" s="116" t="n"/>
      <c r="C676" s="116" t="n"/>
      <c r="D676" s="121" t="n"/>
      <c r="E676" s="120" t="n"/>
      <c r="F676" s="120" t="n"/>
      <c r="G676" s="120" t="n"/>
      <c r="H676" s="120" t="n"/>
      <c r="I676" s="117" t="n"/>
      <c r="J676" s="123" t="str">
        <f>IF(B676="","",IF(F676&lt;&gt;"",N(F676),ROUND(N(D676)*N(E676),2)))</f>
        <v/>
      </c>
      <c r="K676" s="123" t="str">
        <f>IF(B676="","",IF(H676&lt;&gt;"",N(H676),IF(B676="Dividendo",ROUND(J676*IFERROR(INDEX(Calcoli!$V$7:$V$21,MATCH(C676,Calcoli!$A$7:$A$21,0)),0.26),2),IF(B676="Vendita",ROUND(MAX(0,U676)*IFERROR(INDEX(Calcoli!$V$7:$V$21,MATCH(C676,Calcoli!$A$7:$A$21,0)),0.26),2),0))))</f>
        <v/>
      </c>
      <c r="L676" s="135" t="str">
        <f>IF(B676="","",IF(B676="Acquisto",-(J676+N(G676)),J676-N(G676)-K676))</f>
        <v/>
      </c>
      <c r="M676" s="127" t="str">
        <f>IF(B676="","",IF(ISNA(MATCH(C676,ETF!$A$7:$A$21,0)),"ETF?",IF(NOT(ISNUMBER(A676)),"Data?",IF(AND(B676&lt;&gt;"Dividendo",N(D676)&lt;=0),"Quote?",IF(AND(B676="Vendita",N(D676)&gt;N(Q676)+0.000001),"Quote?",IF(J676&lt;=0,"Importo?","✓"))))))</f>
        <v/>
      </c>
      <c r="N676" t="str">
        <f>IF(OR(B676="Acquisto",B676="Vendita"),COUNTIFS($C$5:C676,C676,$B$5:B676,"Acquisto")+COUNTIFS($C$5:C676,C676,$B$5:B676,"Vendita"),"")</f>
        <v/>
      </c>
      <c r="O676" t="str">
        <f>IF(N676="","",C676&amp;"|"&amp;N676)</f>
        <v/>
      </c>
      <c r="P676" t="str">
        <f>IF(N676="","",IF(N676=1,0,MATCH(C676&amp;"|"&amp;(N676-1),$O$5:$O$1004,0)))</f>
        <v/>
      </c>
      <c r="Q676" t="str">
        <f>IF(N676="","",IF(P676=0,SUMIFS(Calcoli!$C$7:$C$21,Calcoli!$A$7:$A$21,C676),INDEX($S$5:$S$1004,P676)))</f>
        <v/>
      </c>
      <c r="R676" t="str">
        <f>IF(N676="","",IF(P676=0,SUMIFS(Calcoli!$D$7:$D$21,Calcoli!$A$7:$A$21,C676),INDEX($T$5:$T$1004,P676)))</f>
        <v/>
      </c>
      <c r="S676" t="str">
        <f>IF(N676="","",IF(B676="Acquisto",Q676+N(D676),MAX(0,Q676-N(D676))))</f>
        <v/>
      </c>
      <c r="T676" t="str">
        <f>IF(N676="","",IF(B676="Acquisto",R676+J676+N(G676),IF(Q676&lt;=0,0,R676*(1-MIN(1,N(D676)/Q676)))))</f>
        <v/>
      </c>
      <c r="U676" t="str">
        <f>IF(B676&lt;&gt;"Vendita","",J676-N(G676)-IF(Q676&lt;=0,0,R676*MIN(1,N(D676)/Q676)))</f>
        <v/>
      </c>
      <c r="V676" t="str">
        <f>IF(B676&lt;&gt;"Dividendo","",IF(Calcoli!$B$251=1,J676,L676))</f>
        <v/>
      </c>
      <c r="W676" t="str">
        <f>IF(AND(V676&lt;&gt;"",ISNUMBER(A676)),A676,"")</f>
        <v/>
      </c>
    </row>
    <row r="677">
      <c r="A677" s="134" t="n"/>
      <c r="B677" s="116" t="n"/>
      <c r="C677" s="116" t="n"/>
      <c r="D677" s="121" t="n"/>
      <c r="E677" s="120" t="n"/>
      <c r="F677" s="120" t="n"/>
      <c r="G677" s="120" t="n"/>
      <c r="H677" s="120" t="n"/>
      <c r="I677" s="117" t="n"/>
      <c r="J677" s="123" t="str">
        <f>IF(B677="","",IF(F677&lt;&gt;"",N(F677),ROUND(N(D677)*N(E677),2)))</f>
        <v/>
      </c>
      <c r="K677" s="123" t="str">
        <f>IF(B677="","",IF(H677&lt;&gt;"",N(H677),IF(B677="Dividendo",ROUND(J677*IFERROR(INDEX(Calcoli!$V$7:$V$21,MATCH(C677,Calcoli!$A$7:$A$21,0)),0.26),2),IF(B677="Vendita",ROUND(MAX(0,U677)*IFERROR(INDEX(Calcoli!$V$7:$V$21,MATCH(C677,Calcoli!$A$7:$A$21,0)),0.26),2),0))))</f>
        <v/>
      </c>
      <c r="L677" s="135" t="str">
        <f>IF(B677="","",IF(B677="Acquisto",-(J677+N(G677)),J677-N(G677)-K677))</f>
        <v/>
      </c>
      <c r="M677" s="127" t="str">
        <f>IF(B677="","",IF(ISNA(MATCH(C677,ETF!$A$7:$A$21,0)),"ETF?",IF(NOT(ISNUMBER(A677)),"Data?",IF(AND(B677&lt;&gt;"Dividendo",N(D677)&lt;=0),"Quote?",IF(AND(B677="Vendita",N(D677)&gt;N(Q677)+0.000001),"Quote?",IF(J677&lt;=0,"Importo?","✓"))))))</f>
        <v/>
      </c>
      <c r="N677" t="str">
        <f>IF(OR(B677="Acquisto",B677="Vendita"),COUNTIFS($C$5:C677,C677,$B$5:B677,"Acquisto")+COUNTIFS($C$5:C677,C677,$B$5:B677,"Vendita"),"")</f>
        <v/>
      </c>
      <c r="O677" t="str">
        <f>IF(N677="","",C677&amp;"|"&amp;N677)</f>
        <v/>
      </c>
      <c r="P677" t="str">
        <f>IF(N677="","",IF(N677=1,0,MATCH(C677&amp;"|"&amp;(N677-1),$O$5:$O$1004,0)))</f>
        <v/>
      </c>
      <c r="Q677" t="str">
        <f>IF(N677="","",IF(P677=0,SUMIFS(Calcoli!$C$7:$C$21,Calcoli!$A$7:$A$21,C677),INDEX($S$5:$S$1004,P677)))</f>
        <v/>
      </c>
      <c r="R677" t="str">
        <f>IF(N677="","",IF(P677=0,SUMIFS(Calcoli!$D$7:$D$21,Calcoli!$A$7:$A$21,C677),INDEX($T$5:$T$1004,P677)))</f>
        <v/>
      </c>
      <c r="S677" t="str">
        <f>IF(N677="","",IF(B677="Acquisto",Q677+N(D677),MAX(0,Q677-N(D677))))</f>
        <v/>
      </c>
      <c r="T677" t="str">
        <f>IF(N677="","",IF(B677="Acquisto",R677+J677+N(G677),IF(Q677&lt;=0,0,R677*(1-MIN(1,N(D677)/Q677)))))</f>
        <v/>
      </c>
      <c r="U677" t="str">
        <f>IF(B677&lt;&gt;"Vendita","",J677-N(G677)-IF(Q677&lt;=0,0,R677*MIN(1,N(D677)/Q677)))</f>
        <v/>
      </c>
      <c r="V677" t="str">
        <f>IF(B677&lt;&gt;"Dividendo","",IF(Calcoli!$B$251=1,J677,L677))</f>
        <v/>
      </c>
      <c r="W677" t="str">
        <f>IF(AND(V677&lt;&gt;"",ISNUMBER(A677)),A677,"")</f>
        <v/>
      </c>
    </row>
    <row r="678">
      <c r="A678" s="134" t="n"/>
      <c r="B678" s="116" t="n"/>
      <c r="C678" s="116" t="n"/>
      <c r="D678" s="121" t="n"/>
      <c r="E678" s="120" t="n"/>
      <c r="F678" s="120" t="n"/>
      <c r="G678" s="120" t="n"/>
      <c r="H678" s="120" t="n"/>
      <c r="I678" s="117" t="n"/>
      <c r="J678" s="123" t="str">
        <f>IF(B678="","",IF(F678&lt;&gt;"",N(F678),ROUND(N(D678)*N(E678),2)))</f>
        <v/>
      </c>
      <c r="K678" s="123" t="str">
        <f>IF(B678="","",IF(H678&lt;&gt;"",N(H678),IF(B678="Dividendo",ROUND(J678*IFERROR(INDEX(Calcoli!$V$7:$V$21,MATCH(C678,Calcoli!$A$7:$A$21,0)),0.26),2),IF(B678="Vendita",ROUND(MAX(0,U678)*IFERROR(INDEX(Calcoli!$V$7:$V$21,MATCH(C678,Calcoli!$A$7:$A$21,0)),0.26),2),0))))</f>
        <v/>
      </c>
      <c r="L678" s="135" t="str">
        <f>IF(B678="","",IF(B678="Acquisto",-(J678+N(G678)),J678-N(G678)-K678))</f>
        <v/>
      </c>
      <c r="M678" s="127" t="str">
        <f>IF(B678="","",IF(ISNA(MATCH(C678,ETF!$A$7:$A$21,0)),"ETF?",IF(NOT(ISNUMBER(A678)),"Data?",IF(AND(B678&lt;&gt;"Dividendo",N(D678)&lt;=0),"Quote?",IF(AND(B678="Vendita",N(D678)&gt;N(Q678)+0.000001),"Quote?",IF(J678&lt;=0,"Importo?","✓"))))))</f>
        <v/>
      </c>
      <c r="N678" t="str">
        <f>IF(OR(B678="Acquisto",B678="Vendita"),COUNTIFS($C$5:C678,C678,$B$5:B678,"Acquisto")+COUNTIFS($C$5:C678,C678,$B$5:B678,"Vendita"),"")</f>
        <v/>
      </c>
      <c r="O678" t="str">
        <f>IF(N678="","",C678&amp;"|"&amp;N678)</f>
        <v/>
      </c>
      <c r="P678" t="str">
        <f>IF(N678="","",IF(N678=1,0,MATCH(C678&amp;"|"&amp;(N678-1),$O$5:$O$1004,0)))</f>
        <v/>
      </c>
      <c r="Q678" t="str">
        <f>IF(N678="","",IF(P678=0,SUMIFS(Calcoli!$C$7:$C$21,Calcoli!$A$7:$A$21,C678),INDEX($S$5:$S$1004,P678)))</f>
        <v/>
      </c>
      <c r="R678" t="str">
        <f>IF(N678="","",IF(P678=0,SUMIFS(Calcoli!$D$7:$D$21,Calcoli!$A$7:$A$21,C678),INDEX($T$5:$T$1004,P678)))</f>
        <v/>
      </c>
      <c r="S678" t="str">
        <f>IF(N678="","",IF(B678="Acquisto",Q678+N(D678),MAX(0,Q678-N(D678))))</f>
        <v/>
      </c>
      <c r="T678" t="str">
        <f>IF(N678="","",IF(B678="Acquisto",R678+J678+N(G678),IF(Q678&lt;=0,0,R678*(1-MIN(1,N(D678)/Q678)))))</f>
        <v/>
      </c>
      <c r="U678" t="str">
        <f>IF(B678&lt;&gt;"Vendita","",J678-N(G678)-IF(Q678&lt;=0,0,R678*MIN(1,N(D678)/Q678)))</f>
        <v/>
      </c>
      <c r="V678" t="str">
        <f>IF(B678&lt;&gt;"Dividendo","",IF(Calcoli!$B$251=1,J678,L678))</f>
        <v/>
      </c>
      <c r="W678" t="str">
        <f>IF(AND(V678&lt;&gt;"",ISNUMBER(A678)),A678,"")</f>
        <v/>
      </c>
    </row>
    <row r="679">
      <c r="A679" s="134" t="n"/>
      <c r="B679" s="116" t="n"/>
      <c r="C679" s="116" t="n"/>
      <c r="D679" s="121" t="n"/>
      <c r="E679" s="120" t="n"/>
      <c r="F679" s="120" t="n"/>
      <c r="G679" s="120" t="n"/>
      <c r="H679" s="120" t="n"/>
      <c r="I679" s="117" t="n"/>
      <c r="J679" s="123" t="str">
        <f>IF(B679="","",IF(F679&lt;&gt;"",N(F679),ROUND(N(D679)*N(E679),2)))</f>
        <v/>
      </c>
      <c r="K679" s="123" t="str">
        <f>IF(B679="","",IF(H679&lt;&gt;"",N(H679),IF(B679="Dividendo",ROUND(J679*IFERROR(INDEX(Calcoli!$V$7:$V$21,MATCH(C679,Calcoli!$A$7:$A$21,0)),0.26),2),IF(B679="Vendita",ROUND(MAX(0,U679)*IFERROR(INDEX(Calcoli!$V$7:$V$21,MATCH(C679,Calcoli!$A$7:$A$21,0)),0.26),2),0))))</f>
        <v/>
      </c>
      <c r="L679" s="135" t="str">
        <f>IF(B679="","",IF(B679="Acquisto",-(J679+N(G679)),J679-N(G679)-K679))</f>
        <v/>
      </c>
      <c r="M679" s="127" t="str">
        <f>IF(B679="","",IF(ISNA(MATCH(C679,ETF!$A$7:$A$21,0)),"ETF?",IF(NOT(ISNUMBER(A679)),"Data?",IF(AND(B679&lt;&gt;"Dividendo",N(D679)&lt;=0),"Quote?",IF(AND(B679="Vendita",N(D679)&gt;N(Q679)+0.000001),"Quote?",IF(J679&lt;=0,"Importo?","✓"))))))</f>
        <v/>
      </c>
      <c r="N679" t="str">
        <f>IF(OR(B679="Acquisto",B679="Vendita"),COUNTIFS($C$5:C679,C679,$B$5:B679,"Acquisto")+COUNTIFS($C$5:C679,C679,$B$5:B679,"Vendita"),"")</f>
        <v/>
      </c>
      <c r="O679" t="str">
        <f>IF(N679="","",C679&amp;"|"&amp;N679)</f>
        <v/>
      </c>
      <c r="P679" t="str">
        <f>IF(N679="","",IF(N679=1,0,MATCH(C679&amp;"|"&amp;(N679-1),$O$5:$O$1004,0)))</f>
        <v/>
      </c>
      <c r="Q679" t="str">
        <f>IF(N679="","",IF(P679=0,SUMIFS(Calcoli!$C$7:$C$21,Calcoli!$A$7:$A$21,C679),INDEX($S$5:$S$1004,P679)))</f>
        <v/>
      </c>
      <c r="R679" t="str">
        <f>IF(N679="","",IF(P679=0,SUMIFS(Calcoli!$D$7:$D$21,Calcoli!$A$7:$A$21,C679),INDEX($T$5:$T$1004,P679)))</f>
        <v/>
      </c>
      <c r="S679" t="str">
        <f>IF(N679="","",IF(B679="Acquisto",Q679+N(D679),MAX(0,Q679-N(D679))))</f>
        <v/>
      </c>
      <c r="T679" t="str">
        <f>IF(N679="","",IF(B679="Acquisto",R679+J679+N(G679),IF(Q679&lt;=0,0,R679*(1-MIN(1,N(D679)/Q679)))))</f>
        <v/>
      </c>
      <c r="U679" t="str">
        <f>IF(B679&lt;&gt;"Vendita","",J679-N(G679)-IF(Q679&lt;=0,0,R679*MIN(1,N(D679)/Q679)))</f>
        <v/>
      </c>
      <c r="V679" t="str">
        <f>IF(B679&lt;&gt;"Dividendo","",IF(Calcoli!$B$251=1,J679,L679))</f>
        <v/>
      </c>
      <c r="W679" t="str">
        <f>IF(AND(V679&lt;&gt;"",ISNUMBER(A679)),A679,"")</f>
        <v/>
      </c>
    </row>
    <row r="680">
      <c r="A680" s="134" t="n"/>
      <c r="B680" s="116" t="n"/>
      <c r="C680" s="116" t="n"/>
      <c r="D680" s="121" t="n"/>
      <c r="E680" s="120" t="n"/>
      <c r="F680" s="120" t="n"/>
      <c r="G680" s="120" t="n"/>
      <c r="H680" s="120" t="n"/>
      <c r="I680" s="117" t="n"/>
      <c r="J680" s="123" t="str">
        <f>IF(B680="","",IF(F680&lt;&gt;"",N(F680),ROUND(N(D680)*N(E680),2)))</f>
        <v/>
      </c>
      <c r="K680" s="123" t="str">
        <f>IF(B680="","",IF(H680&lt;&gt;"",N(H680),IF(B680="Dividendo",ROUND(J680*IFERROR(INDEX(Calcoli!$V$7:$V$21,MATCH(C680,Calcoli!$A$7:$A$21,0)),0.26),2),IF(B680="Vendita",ROUND(MAX(0,U680)*IFERROR(INDEX(Calcoli!$V$7:$V$21,MATCH(C680,Calcoli!$A$7:$A$21,0)),0.26),2),0))))</f>
        <v/>
      </c>
      <c r="L680" s="135" t="str">
        <f>IF(B680="","",IF(B680="Acquisto",-(J680+N(G680)),J680-N(G680)-K680))</f>
        <v/>
      </c>
      <c r="M680" s="127" t="str">
        <f>IF(B680="","",IF(ISNA(MATCH(C680,ETF!$A$7:$A$21,0)),"ETF?",IF(NOT(ISNUMBER(A680)),"Data?",IF(AND(B680&lt;&gt;"Dividendo",N(D680)&lt;=0),"Quote?",IF(AND(B680="Vendita",N(D680)&gt;N(Q680)+0.000001),"Quote?",IF(J680&lt;=0,"Importo?","✓"))))))</f>
        <v/>
      </c>
      <c r="N680" t="str">
        <f>IF(OR(B680="Acquisto",B680="Vendita"),COUNTIFS($C$5:C680,C680,$B$5:B680,"Acquisto")+COUNTIFS($C$5:C680,C680,$B$5:B680,"Vendita"),"")</f>
        <v/>
      </c>
      <c r="O680" t="str">
        <f>IF(N680="","",C680&amp;"|"&amp;N680)</f>
        <v/>
      </c>
      <c r="P680" t="str">
        <f>IF(N680="","",IF(N680=1,0,MATCH(C680&amp;"|"&amp;(N680-1),$O$5:$O$1004,0)))</f>
        <v/>
      </c>
      <c r="Q680" t="str">
        <f>IF(N680="","",IF(P680=0,SUMIFS(Calcoli!$C$7:$C$21,Calcoli!$A$7:$A$21,C680),INDEX($S$5:$S$1004,P680)))</f>
        <v/>
      </c>
      <c r="R680" t="str">
        <f>IF(N680="","",IF(P680=0,SUMIFS(Calcoli!$D$7:$D$21,Calcoli!$A$7:$A$21,C680),INDEX($T$5:$T$1004,P680)))</f>
        <v/>
      </c>
      <c r="S680" t="str">
        <f>IF(N680="","",IF(B680="Acquisto",Q680+N(D680),MAX(0,Q680-N(D680))))</f>
        <v/>
      </c>
      <c r="T680" t="str">
        <f>IF(N680="","",IF(B680="Acquisto",R680+J680+N(G680),IF(Q680&lt;=0,0,R680*(1-MIN(1,N(D680)/Q680)))))</f>
        <v/>
      </c>
      <c r="U680" t="str">
        <f>IF(B680&lt;&gt;"Vendita","",J680-N(G680)-IF(Q680&lt;=0,0,R680*MIN(1,N(D680)/Q680)))</f>
        <v/>
      </c>
      <c r="V680" t="str">
        <f>IF(B680&lt;&gt;"Dividendo","",IF(Calcoli!$B$251=1,J680,L680))</f>
        <v/>
      </c>
      <c r="W680" t="str">
        <f>IF(AND(V680&lt;&gt;"",ISNUMBER(A680)),A680,"")</f>
        <v/>
      </c>
    </row>
    <row r="681">
      <c r="A681" s="134" t="n"/>
      <c r="B681" s="116" t="n"/>
      <c r="C681" s="116" t="n"/>
      <c r="D681" s="121" t="n"/>
      <c r="E681" s="120" t="n"/>
      <c r="F681" s="120" t="n"/>
      <c r="G681" s="120" t="n"/>
      <c r="H681" s="120" t="n"/>
      <c r="I681" s="117" t="n"/>
      <c r="J681" s="123" t="str">
        <f>IF(B681="","",IF(F681&lt;&gt;"",N(F681),ROUND(N(D681)*N(E681),2)))</f>
        <v/>
      </c>
      <c r="K681" s="123" t="str">
        <f>IF(B681="","",IF(H681&lt;&gt;"",N(H681),IF(B681="Dividendo",ROUND(J681*IFERROR(INDEX(Calcoli!$V$7:$V$21,MATCH(C681,Calcoli!$A$7:$A$21,0)),0.26),2),IF(B681="Vendita",ROUND(MAX(0,U681)*IFERROR(INDEX(Calcoli!$V$7:$V$21,MATCH(C681,Calcoli!$A$7:$A$21,0)),0.26),2),0))))</f>
        <v/>
      </c>
      <c r="L681" s="135" t="str">
        <f>IF(B681="","",IF(B681="Acquisto",-(J681+N(G681)),J681-N(G681)-K681))</f>
        <v/>
      </c>
      <c r="M681" s="127" t="str">
        <f>IF(B681="","",IF(ISNA(MATCH(C681,ETF!$A$7:$A$21,0)),"ETF?",IF(NOT(ISNUMBER(A681)),"Data?",IF(AND(B681&lt;&gt;"Dividendo",N(D681)&lt;=0),"Quote?",IF(AND(B681="Vendita",N(D681)&gt;N(Q681)+0.000001),"Quote?",IF(J681&lt;=0,"Importo?","✓"))))))</f>
        <v/>
      </c>
      <c r="N681" t="str">
        <f>IF(OR(B681="Acquisto",B681="Vendita"),COUNTIFS($C$5:C681,C681,$B$5:B681,"Acquisto")+COUNTIFS($C$5:C681,C681,$B$5:B681,"Vendita"),"")</f>
        <v/>
      </c>
      <c r="O681" t="str">
        <f>IF(N681="","",C681&amp;"|"&amp;N681)</f>
        <v/>
      </c>
      <c r="P681" t="str">
        <f>IF(N681="","",IF(N681=1,0,MATCH(C681&amp;"|"&amp;(N681-1),$O$5:$O$1004,0)))</f>
        <v/>
      </c>
      <c r="Q681" t="str">
        <f>IF(N681="","",IF(P681=0,SUMIFS(Calcoli!$C$7:$C$21,Calcoli!$A$7:$A$21,C681),INDEX($S$5:$S$1004,P681)))</f>
        <v/>
      </c>
      <c r="R681" t="str">
        <f>IF(N681="","",IF(P681=0,SUMIFS(Calcoli!$D$7:$D$21,Calcoli!$A$7:$A$21,C681),INDEX($T$5:$T$1004,P681)))</f>
        <v/>
      </c>
      <c r="S681" t="str">
        <f>IF(N681="","",IF(B681="Acquisto",Q681+N(D681),MAX(0,Q681-N(D681))))</f>
        <v/>
      </c>
      <c r="T681" t="str">
        <f>IF(N681="","",IF(B681="Acquisto",R681+J681+N(G681),IF(Q681&lt;=0,0,R681*(1-MIN(1,N(D681)/Q681)))))</f>
        <v/>
      </c>
      <c r="U681" t="str">
        <f>IF(B681&lt;&gt;"Vendita","",J681-N(G681)-IF(Q681&lt;=0,0,R681*MIN(1,N(D681)/Q681)))</f>
        <v/>
      </c>
      <c r="V681" t="str">
        <f>IF(B681&lt;&gt;"Dividendo","",IF(Calcoli!$B$251=1,J681,L681))</f>
        <v/>
      </c>
      <c r="W681" t="str">
        <f>IF(AND(V681&lt;&gt;"",ISNUMBER(A681)),A681,"")</f>
        <v/>
      </c>
    </row>
    <row r="682">
      <c r="A682" s="134" t="n"/>
      <c r="B682" s="116" t="n"/>
      <c r="C682" s="116" t="n"/>
      <c r="D682" s="121" t="n"/>
      <c r="E682" s="120" t="n"/>
      <c r="F682" s="120" t="n"/>
      <c r="G682" s="120" t="n"/>
      <c r="H682" s="120" t="n"/>
      <c r="I682" s="117" t="n"/>
      <c r="J682" s="123" t="str">
        <f>IF(B682="","",IF(F682&lt;&gt;"",N(F682),ROUND(N(D682)*N(E682),2)))</f>
        <v/>
      </c>
      <c r="K682" s="123" t="str">
        <f>IF(B682="","",IF(H682&lt;&gt;"",N(H682),IF(B682="Dividendo",ROUND(J682*IFERROR(INDEX(Calcoli!$V$7:$V$21,MATCH(C682,Calcoli!$A$7:$A$21,0)),0.26),2),IF(B682="Vendita",ROUND(MAX(0,U682)*IFERROR(INDEX(Calcoli!$V$7:$V$21,MATCH(C682,Calcoli!$A$7:$A$21,0)),0.26),2),0))))</f>
        <v/>
      </c>
      <c r="L682" s="135" t="str">
        <f>IF(B682="","",IF(B682="Acquisto",-(J682+N(G682)),J682-N(G682)-K682))</f>
        <v/>
      </c>
      <c r="M682" s="127" t="str">
        <f>IF(B682="","",IF(ISNA(MATCH(C682,ETF!$A$7:$A$21,0)),"ETF?",IF(NOT(ISNUMBER(A682)),"Data?",IF(AND(B682&lt;&gt;"Dividendo",N(D682)&lt;=0),"Quote?",IF(AND(B682="Vendita",N(D682)&gt;N(Q682)+0.000001),"Quote?",IF(J682&lt;=0,"Importo?","✓"))))))</f>
        <v/>
      </c>
      <c r="N682" t="str">
        <f>IF(OR(B682="Acquisto",B682="Vendita"),COUNTIFS($C$5:C682,C682,$B$5:B682,"Acquisto")+COUNTIFS($C$5:C682,C682,$B$5:B682,"Vendita"),"")</f>
        <v/>
      </c>
      <c r="O682" t="str">
        <f>IF(N682="","",C682&amp;"|"&amp;N682)</f>
        <v/>
      </c>
      <c r="P682" t="str">
        <f>IF(N682="","",IF(N682=1,0,MATCH(C682&amp;"|"&amp;(N682-1),$O$5:$O$1004,0)))</f>
        <v/>
      </c>
      <c r="Q682" t="str">
        <f>IF(N682="","",IF(P682=0,SUMIFS(Calcoli!$C$7:$C$21,Calcoli!$A$7:$A$21,C682),INDEX($S$5:$S$1004,P682)))</f>
        <v/>
      </c>
      <c r="R682" t="str">
        <f>IF(N682="","",IF(P682=0,SUMIFS(Calcoli!$D$7:$D$21,Calcoli!$A$7:$A$21,C682),INDEX($T$5:$T$1004,P682)))</f>
        <v/>
      </c>
      <c r="S682" t="str">
        <f>IF(N682="","",IF(B682="Acquisto",Q682+N(D682),MAX(0,Q682-N(D682))))</f>
        <v/>
      </c>
      <c r="T682" t="str">
        <f>IF(N682="","",IF(B682="Acquisto",R682+J682+N(G682),IF(Q682&lt;=0,0,R682*(1-MIN(1,N(D682)/Q682)))))</f>
        <v/>
      </c>
      <c r="U682" t="str">
        <f>IF(B682&lt;&gt;"Vendita","",J682-N(G682)-IF(Q682&lt;=0,0,R682*MIN(1,N(D682)/Q682)))</f>
        <v/>
      </c>
      <c r="V682" t="str">
        <f>IF(B682&lt;&gt;"Dividendo","",IF(Calcoli!$B$251=1,J682,L682))</f>
        <v/>
      </c>
      <c r="W682" t="str">
        <f>IF(AND(V682&lt;&gt;"",ISNUMBER(A682)),A682,"")</f>
        <v/>
      </c>
    </row>
    <row r="683">
      <c r="A683" s="134" t="n"/>
      <c r="B683" s="116" t="n"/>
      <c r="C683" s="116" t="n"/>
      <c r="D683" s="121" t="n"/>
      <c r="E683" s="120" t="n"/>
      <c r="F683" s="120" t="n"/>
      <c r="G683" s="120" t="n"/>
      <c r="H683" s="120" t="n"/>
      <c r="I683" s="117" t="n"/>
      <c r="J683" s="123" t="str">
        <f>IF(B683="","",IF(F683&lt;&gt;"",N(F683),ROUND(N(D683)*N(E683),2)))</f>
        <v/>
      </c>
      <c r="K683" s="123" t="str">
        <f>IF(B683="","",IF(H683&lt;&gt;"",N(H683),IF(B683="Dividendo",ROUND(J683*IFERROR(INDEX(Calcoli!$V$7:$V$21,MATCH(C683,Calcoli!$A$7:$A$21,0)),0.26),2),IF(B683="Vendita",ROUND(MAX(0,U683)*IFERROR(INDEX(Calcoli!$V$7:$V$21,MATCH(C683,Calcoli!$A$7:$A$21,0)),0.26),2),0))))</f>
        <v/>
      </c>
      <c r="L683" s="135" t="str">
        <f>IF(B683="","",IF(B683="Acquisto",-(J683+N(G683)),J683-N(G683)-K683))</f>
        <v/>
      </c>
      <c r="M683" s="127" t="str">
        <f>IF(B683="","",IF(ISNA(MATCH(C683,ETF!$A$7:$A$21,0)),"ETF?",IF(NOT(ISNUMBER(A683)),"Data?",IF(AND(B683&lt;&gt;"Dividendo",N(D683)&lt;=0),"Quote?",IF(AND(B683="Vendita",N(D683)&gt;N(Q683)+0.000001),"Quote?",IF(J683&lt;=0,"Importo?","✓"))))))</f>
        <v/>
      </c>
      <c r="N683" t="str">
        <f>IF(OR(B683="Acquisto",B683="Vendita"),COUNTIFS($C$5:C683,C683,$B$5:B683,"Acquisto")+COUNTIFS($C$5:C683,C683,$B$5:B683,"Vendita"),"")</f>
        <v/>
      </c>
      <c r="O683" t="str">
        <f>IF(N683="","",C683&amp;"|"&amp;N683)</f>
        <v/>
      </c>
      <c r="P683" t="str">
        <f>IF(N683="","",IF(N683=1,0,MATCH(C683&amp;"|"&amp;(N683-1),$O$5:$O$1004,0)))</f>
        <v/>
      </c>
      <c r="Q683" t="str">
        <f>IF(N683="","",IF(P683=0,SUMIFS(Calcoli!$C$7:$C$21,Calcoli!$A$7:$A$21,C683),INDEX($S$5:$S$1004,P683)))</f>
        <v/>
      </c>
      <c r="R683" t="str">
        <f>IF(N683="","",IF(P683=0,SUMIFS(Calcoli!$D$7:$D$21,Calcoli!$A$7:$A$21,C683),INDEX($T$5:$T$1004,P683)))</f>
        <v/>
      </c>
      <c r="S683" t="str">
        <f>IF(N683="","",IF(B683="Acquisto",Q683+N(D683),MAX(0,Q683-N(D683))))</f>
        <v/>
      </c>
      <c r="T683" t="str">
        <f>IF(N683="","",IF(B683="Acquisto",R683+J683+N(G683),IF(Q683&lt;=0,0,R683*(1-MIN(1,N(D683)/Q683)))))</f>
        <v/>
      </c>
      <c r="U683" t="str">
        <f>IF(B683&lt;&gt;"Vendita","",J683-N(G683)-IF(Q683&lt;=0,0,R683*MIN(1,N(D683)/Q683)))</f>
        <v/>
      </c>
      <c r="V683" t="str">
        <f>IF(B683&lt;&gt;"Dividendo","",IF(Calcoli!$B$251=1,J683,L683))</f>
        <v/>
      </c>
      <c r="W683" t="str">
        <f>IF(AND(V683&lt;&gt;"",ISNUMBER(A683)),A683,"")</f>
        <v/>
      </c>
    </row>
    <row r="684">
      <c r="A684" s="134" t="n"/>
      <c r="B684" s="116" t="n"/>
      <c r="C684" s="116" t="n"/>
      <c r="D684" s="121" t="n"/>
      <c r="E684" s="120" t="n"/>
      <c r="F684" s="120" t="n"/>
      <c r="G684" s="120" t="n"/>
      <c r="H684" s="120" t="n"/>
      <c r="I684" s="117" t="n"/>
      <c r="J684" s="123" t="str">
        <f>IF(B684="","",IF(F684&lt;&gt;"",N(F684),ROUND(N(D684)*N(E684),2)))</f>
        <v/>
      </c>
      <c r="K684" s="123" t="str">
        <f>IF(B684="","",IF(H684&lt;&gt;"",N(H684),IF(B684="Dividendo",ROUND(J684*IFERROR(INDEX(Calcoli!$V$7:$V$21,MATCH(C684,Calcoli!$A$7:$A$21,0)),0.26),2),IF(B684="Vendita",ROUND(MAX(0,U684)*IFERROR(INDEX(Calcoli!$V$7:$V$21,MATCH(C684,Calcoli!$A$7:$A$21,0)),0.26),2),0))))</f>
        <v/>
      </c>
      <c r="L684" s="135" t="str">
        <f>IF(B684="","",IF(B684="Acquisto",-(J684+N(G684)),J684-N(G684)-K684))</f>
        <v/>
      </c>
      <c r="M684" s="127" t="str">
        <f>IF(B684="","",IF(ISNA(MATCH(C684,ETF!$A$7:$A$21,0)),"ETF?",IF(NOT(ISNUMBER(A684)),"Data?",IF(AND(B684&lt;&gt;"Dividendo",N(D684)&lt;=0),"Quote?",IF(AND(B684="Vendita",N(D684)&gt;N(Q684)+0.000001),"Quote?",IF(J684&lt;=0,"Importo?","✓"))))))</f>
        <v/>
      </c>
      <c r="N684" t="str">
        <f>IF(OR(B684="Acquisto",B684="Vendita"),COUNTIFS($C$5:C684,C684,$B$5:B684,"Acquisto")+COUNTIFS($C$5:C684,C684,$B$5:B684,"Vendita"),"")</f>
        <v/>
      </c>
      <c r="O684" t="str">
        <f>IF(N684="","",C684&amp;"|"&amp;N684)</f>
        <v/>
      </c>
      <c r="P684" t="str">
        <f>IF(N684="","",IF(N684=1,0,MATCH(C684&amp;"|"&amp;(N684-1),$O$5:$O$1004,0)))</f>
        <v/>
      </c>
      <c r="Q684" t="str">
        <f>IF(N684="","",IF(P684=0,SUMIFS(Calcoli!$C$7:$C$21,Calcoli!$A$7:$A$21,C684),INDEX($S$5:$S$1004,P684)))</f>
        <v/>
      </c>
      <c r="R684" t="str">
        <f>IF(N684="","",IF(P684=0,SUMIFS(Calcoli!$D$7:$D$21,Calcoli!$A$7:$A$21,C684),INDEX($T$5:$T$1004,P684)))</f>
        <v/>
      </c>
      <c r="S684" t="str">
        <f>IF(N684="","",IF(B684="Acquisto",Q684+N(D684),MAX(0,Q684-N(D684))))</f>
        <v/>
      </c>
      <c r="T684" t="str">
        <f>IF(N684="","",IF(B684="Acquisto",R684+J684+N(G684),IF(Q684&lt;=0,0,R684*(1-MIN(1,N(D684)/Q684)))))</f>
        <v/>
      </c>
      <c r="U684" t="str">
        <f>IF(B684&lt;&gt;"Vendita","",J684-N(G684)-IF(Q684&lt;=0,0,R684*MIN(1,N(D684)/Q684)))</f>
        <v/>
      </c>
      <c r="V684" t="str">
        <f>IF(B684&lt;&gt;"Dividendo","",IF(Calcoli!$B$251=1,J684,L684))</f>
        <v/>
      </c>
      <c r="W684" t="str">
        <f>IF(AND(V684&lt;&gt;"",ISNUMBER(A684)),A684,"")</f>
        <v/>
      </c>
    </row>
    <row r="685">
      <c r="A685" s="134" t="n"/>
      <c r="B685" s="116" t="n"/>
      <c r="C685" s="116" t="n"/>
      <c r="D685" s="121" t="n"/>
      <c r="E685" s="120" t="n"/>
      <c r="F685" s="120" t="n"/>
      <c r="G685" s="120" t="n"/>
      <c r="H685" s="120" t="n"/>
      <c r="I685" s="117" t="n"/>
      <c r="J685" s="123" t="str">
        <f>IF(B685="","",IF(F685&lt;&gt;"",N(F685),ROUND(N(D685)*N(E685),2)))</f>
        <v/>
      </c>
      <c r="K685" s="123" t="str">
        <f>IF(B685="","",IF(H685&lt;&gt;"",N(H685),IF(B685="Dividendo",ROUND(J685*IFERROR(INDEX(Calcoli!$V$7:$V$21,MATCH(C685,Calcoli!$A$7:$A$21,0)),0.26),2),IF(B685="Vendita",ROUND(MAX(0,U685)*IFERROR(INDEX(Calcoli!$V$7:$V$21,MATCH(C685,Calcoli!$A$7:$A$21,0)),0.26),2),0))))</f>
        <v/>
      </c>
      <c r="L685" s="135" t="str">
        <f>IF(B685="","",IF(B685="Acquisto",-(J685+N(G685)),J685-N(G685)-K685))</f>
        <v/>
      </c>
      <c r="M685" s="127" t="str">
        <f>IF(B685="","",IF(ISNA(MATCH(C685,ETF!$A$7:$A$21,0)),"ETF?",IF(NOT(ISNUMBER(A685)),"Data?",IF(AND(B685&lt;&gt;"Dividendo",N(D685)&lt;=0),"Quote?",IF(AND(B685="Vendita",N(D685)&gt;N(Q685)+0.000001),"Quote?",IF(J685&lt;=0,"Importo?","✓"))))))</f>
        <v/>
      </c>
      <c r="N685" t="str">
        <f>IF(OR(B685="Acquisto",B685="Vendita"),COUNTIFS($C$5:C685,C685,$B$5:B685,"Acquisto")+COUNTIFS($C$5:C685,C685,$B$5:B685,"Vendita"),"")</f>
        <v/>
      </c>
      <c r="O685" t="str">
        <f>IF(N685="","",C685&amp;"|"&amp;N685)</f>
        <v/>
      </c>
      <c r="P685" t="str">
        <f>IF(N685="","",IF(N685=1,0,MATCH(C685&amp;"|"&amp;(N685-1),$O$5:$O$1004,0)))</f>
        <v/>
      </c>
      <c r="Q685" t="str">
        <f>IF(N685="","",IF(P685=0,SUMIFS(Calcoli!$C$7:$C$21,Calcoli!$A$7:$A$21,C685),INDEX($S$5:$S$1004,P685)))</f>
        <v/>
      </c>
      <c r="R685" t="str">
        <f>IF(N685="","",IF(P685=0,SUMIFS(Calcoli!$D$7:$D$21,Calcoli!$A$7:$A$21,C685),INDEX($T$5:$T$1004,P685)))</f>
        <v/>
      </c>
      <c r="S685" t="str">
        <f>IF(N685="","",IF(B685="Acquisto",Q685+N(D685),MAX(0,Q685-N(D685))))</f>
        <v/>
      </c>
      <c r="T685" t="str">
        <f>IF(N685="","",IF(B685="Acquisto",R685+J685+N(G685),IF(Q685&lt;=0,0,R685*(1-MIN(1,N(D685)/Q685)))))</f>
        <v/>
      </c>
      <c r="U685" t="str">
        <f>IF(B685&lt;&gt;"Vendita","",J685-N(G685)-IF(Q685&lt;=0,0,R685*MIN(1,N(D685)/Q685)))</f>
        <v/>
      </c>
      <c r="V685" t="str">
        <f>IF(B685&lt;&gt;"Dividendo","",IF(Calcoli!$B$251=1,J685,L685))</f>
        <v/>
      </c>
      <c r="W685" t="str">
        <f>IF(AND(V685&lt;&gt;"",ISNUMBER(A685)),A685,"")</f>
        <v/>
      </c>
    </row>
    <row r="686">
      <c r="A686" s="134" t="n"/>
      <c r="B686" s="116" t="n"/>
      <c r="C686" s="116" t="n"/>
      <c r="D686" s="121" t="n"/>
      <c r="E686" s="120" t="n"/>
      <c r="F686" s="120" t="n"/>
      <c r="G686" s="120" t="n"/>
      <c r="H686" s="120" t="n"/>
      <c r="I686" s="117" t="n"/>
      <c r="J686" s="123" t="str">
        <f>IF(B686="","",IF(F686&lt;&gt;"",N(F686),ROUND(N(D686)*N(E686),2)))</f>
        <v/>
      </c>
      <c r="K686" s="123" t="str">
        <f>IF(B686="","",IF(H686&lt;&gt;"",N(H686),IF(B686="Dividendo",ROUND(J686*IFERROR(INDEX(Calcoli!$V$7:$V$21,MATCH(C686,Calcoli!$A$7:$A$21,0)),0.26),2),IF(B686="Vendita",ROUND(MAX(0,U686)*IFERROR(INDEX(Calcoli!$V$7:$V$21,MATCH(C686,Calcoli!$A$7:$A$21,0)),0.26),2),0))))</f>
        <v/>
      </c>
      <c r="L686" s="135" t="str">
        <f>IF(B686="","",IF(B686="Acquisto",-(J686+N(G686)),J686-N(G686)-K686))</f>
        <v/>
      </c>
      <c r="M686" s="127" t="str">
        <f>IF(B686="","",IF(ISNA(MATCH(C686,ETF!$A$7:$A$21,0)),"ETF?",IF(NOT(ISNUMBER(A686)),"Data?",IF(AND(B686&lt;&gt;"Dividendo",N(D686)&lt;=0),"Quote?",IF(AND(B686="Vendita",N(D686)&gt;N(Q686)+0.000001),"Quote?",IF(J686&lt;=0,"Importo?","✓"))))))</f>
        <v/>
      </c>
      <c r="N686" t="str">
        <f>IF(OR(B686="Acquisto",B686="Vendita"),COUNTIFS($C$5:C686,C686,$B$5:B686,"Acquisto")+COUNTIFS($C$5:C686,C686,$B$5:B686,"Vendita"),"")</f>
        <v/>
      </c>
      <c r="O686" t="str">
        <f>IF(N686="","",C686&amp;"|"&amp;N686)</f>
        <v/>
      </c>
      <c r="P686" t="str">
        <f>IF(N686="","",IF(N686=1,0,MATCH(C686&amp;"|"&amp;(N686-1),$O$5:$O$1004,0)))</f>
        <v/>
      </c>
      <c r="Q686" t="str">
        <f>IF(N686="","",IF(P686=0,SUMIFS(Calcoli!$C$7:$C$21,Calcoli!$A$7:$A$21,C686),INDEX($S$5:$S$1004,P686)))</f>
        <v/>
      </c>
      <c r="R686" t="str">
        <f>IF(N686="","",IF(P686=0,SUMIFS(Calcoli!$D$7:$D$21,Calcoli!$A$7:$A$21,C686),INDEX($T$5:$T$1004,P686)))</f>
        <v/>
      </c>
      <c r="S686" t="str">
        <f>IF(N686="","",IF(B686="Acquisto",Q686+N(D686),MAX(0,Q686-N(D686))))</f>
        <v/>
      </c>
      <c r="T686" t="str">
        <f>IF(N686="","",IF(B686="Acquisto",R686+J686+N(G686),IF(Q686&lt;=0,0,R686*(1-MIN(1,N(D686)/Q686)))))</f>
        <v/>
      </c>
      <c r="U686" t="str">
        <f>IF(B686&lt;&gt;"Vendita","",J686-N(G686)-IF(Q686&lt;=0,0,R686*MIN(1,N(D686)/Q686)))</f>
        <v/>
      </c>
      <c r="V686" t="str">
        <f>IF(B686&lt;&gt;"Dividendo","",IF(Calcoli!$B$251=1,J686,L686))</f>
        <v/>
      </c>
      <c r="W686" t="str">
        <f>IF(AND(V686&lt;&gt;"",ISNUMBER(A686)),A686,"")</f>
        <v/>
      </c>
    </row>
    <row r="687">
      <c r="A687" s="134" t="n"/>
      <c r="B687" s="116" t="n"/>
      <c r="C687" s="116" t="n"/>
      <c r="D687" s="121" t="n"/>
      <c r="E687" s="120" t="n"/>
      <c r="F687" s="120" t="n"/>
      <c r="G687" s="120" t="n"/>
      <c r="H687" s="120" t="n"/>
      <c r="I687" s="117" t="n"/>
      <c r="J687" s="123" t="str">
        <f>IF(B687="","",IF(F687&lt;&gt;"",N(F687),ROUND(N(D687)*N(E687),2)))</f>
        <v/>
      </c>
      <c r="K687" s="123" t="str">
        <f>IF(B687="","",IF(H687&lt;&gt;"",N(H687),IF(B687="Dividendo",ROUND(J687*IFERROR(INDEX(Calcoli!$V$7:$V$21,MATCH(C687,Calcoli!$A$7:$A$21,0)),0.26),2),IF(B687="Vendita",ROUND(MAX(0,U687)*IFERROR(INDEX(Calcoli!$V$7:$V$21,MATCH(C687,Calcoli!$A$7:$A$21,0)),0.26),2),0))))</f>
        <v/>
      </c>
      <c r="L687" s="135" t="str">
        <f>IF(B687="","",IF(B687="Acquisto",-(J687+N(G687)),J687-N(G687)-K687))</f>
        <v/>
      </c>
      <c r="M687" s="127" t="str">
        <f>IF(B687="","",IF(ISNA(MATCH(C687,ETF!$A$7:$A$21,0)),"ETF?",IF(NOT(ISNUMBER(A687)),"Data?",IF(AND(B687&lt;&gt;"Dividendo",N(D687)&lt;=0),"Quote?",IF(AND(B687="Vendita",N(D687)&gt;N(Q687)+0.000001),"Quote?",IF(J687&lt;=0,"Importo?","✓"))))))</f>
        <v/>
      </c>
      <c r="N687" t="str">
        <f>IF(OR(B687="Acquisto",B687="Vendita"),COUNTIFS($C$5:C687,C687,$B$5:B687,"Acquisto")+COUNTIFS($C$5:C687,C687,$B$5:B687,"Vendita"),"")</f>
        <v/>
      </c>
      <c r="O687" t="str">
        <f>IF(N687="","",C687&amp;"|"&amp;N687)</f>
        <v/>
      </c>
      <c r="P687" t="str">
        <f>IF(N687="","",IF(N687=1,0,MATCH(C687&amp;"|"&amp;(N687-1),$O$5:$O$1004,0)))</f>
        <v/>
      </c>
      <c r="Q687" t="str">
        <f>IF(N687="","",IF(P687=0,SUMIFS(Calcoli!$C$7:$C$21,Calcoli!$A$7:$A$21,C687),INDEX($S$5:$S$1004,P687)))</f>
        <v/>
      </c>
      <c r="R687" t="str">
        <f>IF(N687="","",IF(P687=0,SUMIFS(Calcoli!$D$7:$D$21,Calcoli!$A$7:$A$21,C687),INDEX($T$5:$T$1004,P687)))</f>
        <v/>
      </c>
      <c r="S687" t="str">
        <f>IF(N687="","",IF(B687="Acquisto",Q687+N(D687),MAX(0,Q687-N(D687))))</f>
        <v/>
      </c>
      <c r="T687" t="str">
        <f>IF(N687="","",IF(B687="Acquisto",R687+J687+N(G687),IF(Q687&lt;=0,0,R687*(1-MIN(1,N(D687)/Q687)))))</f>
        <v/>
      </c>
      <c r="U687" t="str">
        <f>IF(B687&lt;&gt;"Vendita","",J687-N(G687)-IF(Q687&lt;=0,0,R687*MIN(1,N(D687)/Q687)))</f>
        <v/>
      </c>
      <c r="V687" t="str">
        <f>IF(B687&lt;&gt;"Dividendo","",IF(Calcoli!$B$251=1,J687,L687))</f>
        <v/>
      </c>
      <c r="W687" t="str">
        <f>IF(AND(V687&lt;&gt;"",ISNUMBER(A687)),A687,"")</f>
        <v/>
      </c>
    </row>
    <row r="688">
      <c r="A688" s="134" t="n"/>
      <c r="B688" s="116" t="n"/>
      <c r="C688" s="116" t="n"/>
      <c r="D688" s="121" t="n"/>
      <c r="E688" s="120" t="n"/>
      <c r="F688" s="120" t="n"/>
      <c r="G688" s="120" t="n"/>
      <c r="H688" s="120" t="n"/>
      <c r="I688" s="117" t="n"/>
      <c r="J688" s="123" t="str">
        <f>IF(B688="","",IF(F688&lt;&gt;"",N(F688),ROUND(N(D688)*N(E688),2)))</f>
        <v/>
      </c>
      <c r="K688" s="123" t="str">
        <f>IF(B688="","",IF(H688&lt;&gt;"",N(H688),IF(B688="Dividendo",ROUND(J688*IFERROR(INDEX(Calcoli!$V$7:$V$21,MATCH(C688,Calcoli!$A$7:$A$21,0)),0.26),2),IF(B688="Vendita",ROUND(MAX(0,U688)*IFERROR(INDEX(Calcoli!$V$7:$V$21,MATCH(C688,Calcoli!$A$7:$A$21,0)),0.26),2),0))))</f>
        <v/>
      </c>
      <c r="L688" s="135" t="str">
        <f>IF(B688="","",IF(B688="Acquisto",-(J688+N(G688)),J688-N(G688)-K688))</f>
        <v/>
      </c>
      <c r="M688" s="127" t="str">
        <f>IF(B688="","",IF(ISNA(MATCH(C688,ETF!$A$7:$A$21,0)),"ETF?",IF(NOT(ISNUMBER(A688)),"Data?",IF(AND(B688&lt;&gt;"Dividendo",N(D688)&lt;=0),"Quote?",IF(AND(B688="Vendita",N(D688)&gt;N(Q688)+0.000001),"Quote?",IF(J688&lt;=0,"Importo?","✓"))))))</f>
        <v/>
      </c>
      <c r="N688" t="str">
        <f>IF(OR(B688="Acquisto",B688="Vendita"),COUNTIFS($C$5:C688,C688,$B$5:B688,"Acquisto")+COUNTIFS($C$5:C688,C688,$B$5:B688,"Vendita"),"")</f>
        <v/>
      </c>
      <c r="O688" t="str">
        <f>IF(N688="","",C688&amp;"|"&amp;N688)</f>
        <v/>
      </c>
      <c r="P688" t="str">
        <f>IF(N688="","",IF(N688=1,0,MATCH(C688&amp;"|"&amp;(N688-1),$O$5:$O$1004,0)))</f>
        <v/>
      </c>
      <c r="Q688" t="str">
        <f>IF(N688="","",IF(P688=0,SUMIFS(Calcoli!$C$7:$C$21,Calcoli!$A$7:$A$21,C688),INDEX($S$5:$S$1004,P688)))</f>
        <v/>
      </c>
      <c r="R688" t="str">
        <f>IF(N688="","",IF(P688=0,SUMIFS(Calcoli!$D$7:$D$21,Calcoli!$A$7:$A$21,C688),INDEX($T$5:$T$1004,P688)))</f>
        <v/>
      </c>
      <c r="S688" t="str">
        <f>IF(N688="","",IF(B688="Acquisto",Q688+N(D688),MAX(0,Q688-N(D688))))</f>
        <v/>
      </c>
      <c r="T688" t="str">
        <f>IF(N688="","",IF(B688="Acquisto",R688+J688+N(G688),IF(Q688&lt;=0,0,R688*(1-MIN(1,N(D688)/Q688)))))</f>
        <v/>
      </c>
      <c r="U688" t="str">
        <f>IF(B688&lt;&gt;"Vendita","",J688-N(G688)-IF(Q688&lt;=0,0,R688*MIN(1,N(D688)/Q688)))</f>
        <v/>
      </c>
      <c r="V688" t="str">
        <f>IF(B688&lt;&gt;"Dividendo","",IF(Calcoli!$B$251=1,J688,L688))</f>
        <v/>
      </c>
      <c r="W688" t="str">
        <f>IF(AND(V688&lt;&gt;"",ISNUMBER(A688)),A688,"")</f>
        <v/>
      </c>
    </row>
    <row r="689">
      <c r="A689" s="134" t="n"/>
      <c r="B689" s="116" t="n"/>
      <c r="C689" s="116" t="n"/>
      <c r="D689" s="121" t="n"/>
      <c r="E689" s="120" t="n"/>
      <c r="F689" s="120" t="n"/>
      <c r="G689" s="120" t="n"/>
      <c r="H689" s="120" t="n"/>
      <c r="I689" s="117" t="n"/>
      <c r="J689" s="123" t="str">
        <f>IF(B689="","",IF(F689&lt;&gt;"",N(F689),ROUND(N(D689)*N(E689),2)))</f>
        <v/>
      </c>
      <c r="K689" s="123" t="str">
        <f>IF(B689="","",IF(H689&lt;&gt;"",N(H689),IF(B689="Dividendo",ROUND(J689*IFERROR(INDEX(Calcoli!$V$7:$V$21,MATCH(C689,Calcoli!$A$7:$A$21,0)),0.26),2),IF(B689="Vendita",ROUND(MAX(0,U689)*IFERROR(INDEX(Calcoli!$V$7:$V$21,MATCH(C689,Calcoli!$A$7:$A$21,0)),0.26),2),0))))</f>
        <v/>
      </c>
      <c r="L689" s="135" t="str">
        <f>IF(B689="","",IF(B689="Acquisto",-(J689+N(G689)),J689-N(G689)-K689))</f>
        <v/>
      </c>
      <c r="M689" s="127" t="str">
        <f>IF(B689="","",IF(ISNA(MATCH(C689,ETF!$A$7:$A$21,0)),"ETF?",IF(NOT(ISNUMBER(A689)),"Data?",IF(AND(B689&lt;&gt;"Dividendo",N(D689)&lt;=0),"Quote?",IF(AND(B689="Vendita",N(D689)&gt;N(Q689)+0.000001),"Quote?",IF(J689&lt;=0,"Importo?","✓"))))))</f>
        <v/>
      </c>
      <c r="N689" t="str">
        <f>IF(OR(B689="Acquisto",B689="Vendita"),COUNTIFS($C$5:C689,C689,$B$5:B689,"Acquisto")+COUNTIFS($C$5:C689,C689,$B$5:B689,"Vendita"),"")</f>
        <v/>
      </c>
      <c r="O689" t="str">
        <f>IF(N689="","",C689&amp;"|"&amp;N689)</f>
        <v/>
      </c>
      <c r="P689" t="str">
        <f>IF(N689="","",IF(N689=1,0,MATCH(C689&amp;"|"&amp;(N689-1),$O$5:$O$1004,0)))</f>
        <v/>
      </c>
      <c r="Q689" t="str">
        <f>IF(N689="","",IF(P689=0,SUMIFS(Calcoli!$C$7:$C$21,Calcoli!$A$7:$A$21,C689),INDEX($S$5:$S$1004,P689)))</f>
        <v/>
      </c>
      <c r="R689" t="str">
        <f>IF(N689="","",IF(P689=0,SUMIFS(Calcoli!$D$7:$D$21,Calcoli!$A$7:$A$21,C689),INDEX($T$5:$T$1004,P689)))</f>
        <v/>
      </c>
      <c r="S689" t="str">
        <f>IF(N689="","",IF(B689="Acquisto",Q689+N(D689),MAX(0,Q689-N(D689))))</f>
        <v/>
      </c>
      <c r="T689" t="str">
        <f>IF(N689="","",IF(B689="Acquisto",R689+J689+N(G689),IF(Q689&lt;=0,0,R689*(1-MIN(1,N(D689)/Q689)))))</f>
        <v/>
      </c>
      <c r="U689" t="str">
        <f>IF(B689&lt;&gt;"Vendita","",J689-N(G689)-IF(Q689&lt;=0,0,R689*MIN(1,N(D689)/Q689)))</f>
        <v/>
      </c>
      <c r="V689" t="str">
        <f>IF(B689&lt;&gt;"Dividendo","",IF(Calcoli!$B$251=1,J689,L689))</f>
        <v/>
      </c>
      <c r="W689" t="str">
        <f>IF(AND(V689&lt;&gt;"",ISNUMBER(A689)),A689,"")</f>
        <v/>
      </c>
    </row>
    <row r="690">
      <c r="A690" s="134" t="n"/>
      <c r="B690" s="116" t="n"/>
      <c r="C690" s="116" t="n"/>
      <c r="D690" s="121" t="n"/>
      <c r="E690" s="120" t="n"/>
      <c r="F690" s="120" t="n"/>
      <c r="G690" s="120" t="n"/>
      <c r="H690" s="120" t="n"/>
      <c r="I690" s="117" t="n"/>
      <c r="J690" s="123" t="str">
        <f>IF(B690="","",IF(F690&lt;&gt;"",N(F690),ROUND(N(D690)*N(E690),2)))</f>
        <v/>
      </c>
      <c r="K690" s="123" t="str">
        <f>IF(B690="","",IF(H690&lt;&gt;"",N(H690),IF(B690="Dividendo",ROUND(J690*IFERROR(INDEX(Calcoli!$V$7:$V$21,MATCH(C690,Calcoli!$A$7:$A$21,0)),0.26),2),IF(B690="Vendita",ROUND(MAX(0,U690)*IFERROR(INDEX(Calcoli!$V$7:$V$21,MATCH(C690,Calcoli!$A$7:$A$21,0)),0.26),2),0))))</f>
        <v/>
      </c>
      <c r="L690" s="135" t="str">
        <f>IF(B690="","",IF(B690="Acquisto",-(J690+N(G690)),J690-N(G690)-K690))</f>
        <v/>
      </c>
      <c r="M690" s="127" t="str">
        <f>IF(B690="","",IF(ISNA(MATCH(C690,ETF!$A$7:$A$21,0)),"ETF?",IF(NOT(ISNUMBER(A690)),"Data?",IF(AND(B690&lt;&gt;"Dividendo",N(D690)&lt;=0),"Quote?",IF(AND(B690="Vendita",N(D690)&gt;N(Q690)+0.000001),"Quote?",IF(J690&lt;=0,"Importo?","✓"))))))</f>
        <v/>
      </c>
      <c r="N690" t="str">
        <f>IF(OR(B690="Acquisto",B690="Vendita"),COUNTIFS($C$5:C690,C690,$B$5:B690,"Acquisto")+COUNTIFS($C$5:C690,C690,$B$5:B690,"Vendita"),"")</f>
        <v/>
      </c>
      <c r="O690" t="str">
        <f>IF(N690="","",C690&amp;"|"&amp;N690)</f>
        <v/>
      </c>
      <c r="P690" t="str">
        <f>IF(N690="","",IF(N690=1,0,MATCH(C690&amp;"|"&amp;(N690-1),$O$5:$O$1004,0)))</f>
        <v/>
      </c>
      <c r="Q690" t="str">
        <f>IF(N690="","",IF(P690=0,SUMIFS(Calcoli!$C$7:$C$21,Calcoli!$A$7:$A$21,C690),INDEX($S$5:$S$1004,P690)))</f>
        <v/>
      </c>
      <c r="R690" t="str">
        <f>IF(N690="","",IF(P690=0,SUMIFS(Calcoli!$D$7:$D$21,Calcoli!$A$7:$A$21,C690),INDEX($T$5:$T$1004,P690)))</f>
        <v/>
      </c>
      <c r="S690" t="str">
        <f>IF(N690="","",IF(B690="Acquisto",Q690+N(D690),MAX(0,Q690-N(D690))))</f>
        <v/>
      </c>
      <c r="T690" t="str">
        <f>IF(N690="","",IF(B690="Acquisto",R690+J690+N(G690),IF(Q690&lt;=0,0,R690*(1-MIN(1,N(D690)/Q690)))))</f>
        <v/>
      </c>
      <c r="U690" t="str">
        <f>IF(B690&lt;&gt;"Vendita","",J690-N(G690)-IF(Q690&lt;=0,0,R690*MIN(1,N(D690)/Q690)))</f>
        <v/>
      </c>
      <c r="V690" t="str">
        <f>IF(B690&lt;&gt;"Dividendo","",IF(Calcoli!$B$251=1,J690,L690))</f>
        <v/>
      </c>
      <c r="W690" t="str">
        <f>IF(AND(V690&lt;&gt;"",ISNUMBER(A690)),A690,"")</f>
        <v/>
      </c>
    </row>
    <row r="691">
      <c r="A691" s="134" t="n"/>
      <c r="B691" s="116" t="n"/>
      <c r="C691" s="116" t="n"/>
      <c r="D691" s="121" t="n"/>
      <c r="E691" s="120" t="n"/>
      <c r="F691" s="120" t="n"/>
      <c r="G691" s="120" t="n"/>
      <c r="H691" s="120" t="n"/>
      <c r="I691" s="117" t="n"/>
      <c r="J691" s="123" t="str">
        <f>IF(B691="","",IF(F691&lt;&gt;"",N(F691),ROUND(N(D691)*N(E691),2)))</f>
        <v/>
      </c>
      <c r="K691" s="123" t="str">
        <f>IF(B691="","",IF(H691&lt;&gt;"",N(H691),IF(B691="Dividendo",ROUND(J691*IFERROR(INDEX(Calcoli!$V$7:$V$21,MATCH(C691,Calcoli!$A$7:$A$21,0)),0.26),2),IF(B691="Vendita",ROUND(MAX(0,U691)*IFERROR(INDEX(Calcoli!$V$7:$V$21,MATCH(C691,Calcoli!$A$7:$A$21,0)),0.26),2),0))))</f>
        <v/>
      </c>
      <c r="L691" s="135" t="str">
        <f>IF(B691="","",IF(B691="Acquisto",-(J691+N(G691)),J691-N(G691)-K691))</f>
        <v/>
      </c>
      <c r="M691" s="127" t="str">
        <f>IF(B691="","",IF(ISNA(MATCH(C691,ETF!$A$7:$A$21,0)),"ETF?",IF(NOT(ISNUMBER(A691)),"Data?",IF(AND(B691&lt;&gt;"Dividendo",N(D691)&lt;=0),"Quote?",IF(AND(B691="Vendita",N(D691)&gt;N(Q691)+0.000001),"Quote?",IF(J691&lt;=0,"Importo?","✓"))))))</f>
        <v/>
      </c>
      <c r="N691" t="str">
        <f>IF(OR(B691="Acquisto",B691="Vendita"),COUNTIFS($C$5:C691,C691,$B$5:B691,"Acquisto")+COUNTIFS($C$5:C691,C691,$B$5:B691,"Vendita"),"")</f>
        <v/>
      </c>
      <c r="O691" t="str">
        <f>IF(N691="","",C691&amp;"|"&amp;N691)</f>
        <v/>
      </c>
      <c r="P691" t="str">
        <f>IF(N691="","",IF(N691=1,0,MATCH(C691&amp;"|"&amp;(N691-1),$O$5:$O$1004,0)))</f>
        <v/>
      </c>
      <c r="Q691" t="str">
        <f>IF(N691="","",IF(P691=0,SUMIFS(Calcoli!$C$7:$C$21,Calcoli!$A$7:$A$21,C691),INDEX($S$5:$S$1004,P691)))</f>
        <v/>
      </c>
      <c r="R691" t="str">
        <f>IF(N691="","",IF(P691=0,SUMIFS(Calcoli!$D$7:$D$21,Calcoli!$A$7:$A$21,C691),INDEX($T$5:$T$1004,P691)))</f>
        <v/>
      </c>
      <c r="S691" t="str">
        <f>IF(N691="","",IF(B691="Acquisto",Q691+N(D691),MAX(0,Q691-N(D691))))</f>
        <v/>
      </c>
      <c r="T691" t="str">
        <f>IF(N691="","",IF(B691="Acquisto",R691+J691+N(G691),IF(Q691&lt;=0,0,R691*(1-MIN(1,N(D691)/Q691)))))</f>
        <v/>
      </c>
      <c r="U691" t="str">
        <f>IF(B691&lt;&gt;"Vendita","",J691-N(G691)-IF(Q691&lt;=0,0,R691*MIN(1,N(D691)/Q691)))</f>
        <v/>
      </c>
      <c r="V691" t="str">
        <f>IF(B691&lt;&gt;"Dividendo","",IF(Calcoli!$B$251=1,J691,L691))</f>
        <v/>
      </c>
      <c r="W691" t="str">
        <f>IF(AND(V691&lt;&gt;"",ISNUMBER(A691)),A691,"")</f>
        <v/>
      </c>
    </row>
    <row r="692">
      <c r="A692" s="134" t="n"/>
      <c r="B692" s="116" t="n"/>
      <c r="C692" s="116" t="n"/>
      <c r="D692" s="121" t="n"/>
      <c r="E692" s="120" t="n"/>
      <c r="F692" s="120" t="n"/>
      <c r="G692" s="120" t="n"/>
      <c r="H692" s="120" t="n"/>
      <c r="I692" s="117" t="n"/>
      <c r="J692" s="123" t="str">
        <f>IF(B692="","",IF(F692&lt;&gt;"",N(F692),ROUND(N(D692)*N(E692),2)))</f>
        <v/>
      </c>
      <c r="K692" s="123" t="str">
        <f>IF(B692="","",IF(H692&lt;&gt;"",N(H692),IF(B692="Dividendo",ROUND(J692*IFERROR(INDEX(Calcoli!$V$7:$V$21,MATCH(C692,Calcoli!$A$7:$A$21,0)),0.26),2),IF(B692="Vendita",ROUND(MAX(0,U692)*IFERROR(INDEX(Calcoli!$V$7:$V$21,MATCH(C692,Calcoli!$A$7:$A$21,0)),0.26),2),0))))</f>
        <v/>
      </c>
      <c r="L692" s="135" t="str">
        <f>IF(B692="","",IF(B692="Acquisto",-(J692+N(G692)),J692-N(G692)-K692))</f>
        <v/>
      </c>
      <c r="M692" s="127" t="str">
        <f>IF(B692="","",IF(ISNA(MATCH(C692,ETF!$A$7:$A$21,0)),"ETF?",IF(NOT(ISNUMBER(A692)),"Data?",IF(AND(B692&lt;&gt;"Dividendo",N(D692)&lt;=0),"Quote?",IF(AND(B692="Vendita",N(D692)&gt;N(Q692)+0.000001),"Quote?",IF(J692&lt;=0,"Importo?","✓"))))))</f>
        <v/>
      </c>
      <c r="N692" t="str">
        <f>IF(OR(B692="Acquisto",B692="Vendita"),COUNTIFS($C$5:C692,C692,$B$5:B692,"Acquisto")+COUNTIFS($C$5:C692,C692,$B$5:B692,"Vendita"),"")</f>
        <v/>
      </c>
      <c r="O692" t="str">
        <f>IF(N692="","",C692&amp;"|"&amp;N692)</f>
        <v/>
      </c>
      <c r="P692" t="str">
        <f>IF(N692="","",IF(N692=1,0,MATCH(C692&amp;"|"&amp;(N692-1),$O$5:$O$1004,0)))</f>
        <v/>
      </c>
      <c r="Q692" t="str">
        <f>IF(N692="","",IF(P692=0,SUMIFS(Calcoli!$C$7:$C$21,Calcoli!$A$7:$A$21,C692),INDEX($S$5:$S$1004,P692)))</f>
        <v/>
      </c>
      <c r="R692" t="str">
        <f>IF(N692="","",IF(P692=0,SUMIFS(Calcoli!$D$7:$D$21,Calcoli!$A$7:$A$21,C692),INDEX($T$5:$T$1004,P692)))</f>
        <v/>
      </c>
      <c r="S692" t="str">
        <f>IF(N692="","",IF(B692="Acquisto",Q692+N(D692),MAX(0,Q692-N(D692))))</f>
        <v/>
      </c>
      <c r="T692" t="str">
        <f>IF(N692="","",IF(B692="Acquisto",R692+J692+N(G692),IF(Q692&lt;=0,0,R692*(1-MIN(1,N(D692)/Q692)))))</f>
        <v/>
      </c>
      <c r="U692" t="str">
        <f>IF(B692&lt;&gt;"Vendita","",J692-N(G692)-IF(Q692&lt;=0,0,R692*MIN(1,N(D692)/Q692)))</f>
        <v/>
      </c>
      <c r="V692" t="str">
        <f>IF(B692&lt;&gt;"Dividendo","",IF(Calcoli!$B$251=1,J692,L692))</f>
        <v/>
      </c>
      <c r="W692" t="str">
        <f>IF(AND(V692&lt;&gt;"",ISNUMBER(A692)),A692,"")</f>
        <v/>
      </c>
    </row>
    <row r="693">
      <c r="A693" s="134" t="n"/>
      <c r="B693" s="116" t="n"/>
      <c r="C693" s="116" t="n"/>
      <c r="D693" s="121" t="n"/>
      <c r="E693" s="120" t="n"/>
      <c r="F693" s="120" t="n"/>
      <c r="G693" s="120" t="n"/>
      <c r="H693" s="120" t="n"/>
      <c r="I693" s="117" t="n"/>
      <c r="J693" s="123" t="str">
        <f>IF(B693="","",IF(F693&lt;&gt;"",N(F693),ROUND(N(D693)*N(E693),2)))</f>
        <v/>
      </c>
      <c r="K693" s="123" t="str">
        <f>IF(B693="","",IF(H693&lt;&gt;"",N(H693),IF(B693="Dividendo",ROUND(J693*IFERROR(INDEX(Calcoli!$V$7:$V$21,MATCH(C693,Calcoli!$A$7:$A$21,0)),0.26),2),IF(B693="Vendita",ROUND(MAX(0,U693)*IFERROR(INDEX(Calcoli!$V$7:$V$21,MATCH(C693,Calcoli!$A$7:$A$21,0)),0.26),2),0))))</f>
        <v/>
      </c>
      <c r="L693" s="135" t="str">
        <f>IF(B693="","",IF(B693="Acquisto",-(J693+N(G693)),J693-N(G693)-K693))</f>
        <v/>
      </c>
      <c r="M693" s="127" t="str">
        <f>IF(B693="","",IF(ISNA(MATCH(C693,ETF!$A$7:$A$21,0)),"ETF?",IF(NOT(ISNUMBER(A693)),"Data?",IF(AND(B693&lt;&gt;"Dividendo",N(D693)&lt;=0),"Quote?",IF(AND(B693="Vendita",N(D693)&gt;N(Q693)+0.000001),"Quote?",IF(J693&lt;=0,"Importo?","✓"))))))</f>
        <v/>
      </c>
      <c r="N693" t="str">
        <f>IF(OR(B693="Acquisto",B693="Vendita"),COUNTIFS($C$5:C693,C693,$B$5:B693,"Acquisto")+COUNTIFS($C$5:C693,C693,$B$5:B693,"Vendita"),"")</f>
        <v/>
      </c>
      <c r="O693" t="str">
        <f>IF(N693="","",C693&amp;"|"&amp;N693)</f>
        <v/>
      </c>
      <c r="P693" t="str">
        <f>IF(N693="","",IF(N693=1,0,MATCH(C693&amp;"|"&amp;(N693-1),$O$5:$O$1004,0)))</f>
        <v/>
      </c>
      <c r="Q693" t="str">
        <f>IF(N693="","",IF(P693=0,SUMIFS(Calcoli!$C$7:$C$21,Calcoli!$A$7:$A$21,C693),INDEX($S$5:$S$1004,P693)))</f>
        <v/>
      </c>
      <c r="R693" t="str">
        <f>IF(N693="","",IF(P693=0,SUMIFS(Calcoli!$D$7:$D$21,Calcoli!$A$7:$A$21,C693),INDEX($T$5:$T$1004,P693)))</f>
        <v/>
      </c>
      <c r="S693" t="str">
        <f>IF(N693="","",IF(B693="Acquisto",Q693+N(D693),MAX(0,Q693-N(D693))))</f>
        <v/>
      </c>
      <c r="T693" t="str">
        <f>IF(N693="","",IF(B693="Acquisto",R693+J693+N(G693),IF(Q693&lt;=0,0,R693*(1-MIN(1,N(D693)/Q693)))))</f>
        <v/>
      </c>
      <c r="U693" t="str">
        <f>IF(B693&lt;&gt;"Vendita","",J693-N(G693)-IF(Q693&lt;=0,0,R693*MIN(1,N(D693)/Q693)))</f>
        <v/>
      </c>
      <c r="V693" t="str">
        <f>IF(B693&lt;&gt;"Dividendo","",IF(Calcoli!$B$251=1,J693,L693))</f>
        <v/>
      </c>
      <c r="W693" t="str">
        <f>IF(AND(V693&lt;&gt;"",ISNUMBER(A693)),A693,"")</f>
        <v/>
      </c>
    </row>
    <row r="694">
      <c r="A694" s="134" t="n"/>
      <c r="B694" s="116" t="n"/>
      <c r="C694" s="116" t="n"/>
      <c r="D694" s="121" t="n"/>
      <c r="E694" s="120" t="n"/>
      <c r="F694" s="120" t="n"/>
      <c r="G694" s="120" t="n"/>
      <c r="H694" s="120" t="n"/>
      <c r="I694" s="117" t="n"/>
      <c r="J694" s="123" t="str">
        <f>IF(B694="","",IF(F694&lt;&gt;"",N(F694),ROUND(N(D694)*N(E694),2)))</f>
        <v/>
      </c>
      <c r="K694" s="123" t="str">
        <f>IF(B694="","",IF(H694&lt;&gt;"",N(H694),IF(B694="Dividendo",ROUND(J694*IFERROR(INDEX(Calcoli!$V$7:$V$21,MATCH(C694,Calcoli!$A$7:$A$21,0)),0.26),2),IF(B694="Vendita",ROUND(MAX(0,U694)*IFERROR(INDEX(Calcoli!$V$7:$V$21,MATCH(C694,Calcoli!$A$7:$A$21,0)),0.26),2),0))))</f>
        <v/>
      </c>
      <c r="L694" s="135" t="str">
        <f>IF(B694="","",IF(B694="Acquisto",-(J694+N(G694)),J694-N(G694)-K694))</f>
        <v/>
      </c>
      <c r="M694" s="127" t="str">
        <f>IF(B694="","",IF(ISNA(MATCH(C694,ETF!$A$7:$A$21,0)),"ETF?",IF(NOT(ISNUMBER(A694)),"Data?",IF(AND(B694&lt;&gt;"Dividendo",N(D694)&lt;=0),"Quote?",IF(AND(B694="Vendita",N(D694)&gt;N(Q694)+0.000001),"Quote?",IF(J694&lt;=0,"Importo?","✓"))))))</f>
        <v/>
      </c>
      <c r="N694" t="str">
        <f>IF(OR(B694="Acquisto",B694="Vendita"),COUNTIFS($C$5:C694,C694,$B$5:B694,"Acquisto")+COUNTIFS($C$5:C694,C694,$B$5:B694,"Vendita"),"")</f>
        <v/>
      </c>
      <c r="O694" t="str">
        <f>IF(N694="","",C694&amp;"|"&amp;N694)</f>
        <v/>
      </c>
      <c r="P694" t="str">
        <f>IF(N694="","",IF(N694=1,0,MATCH(C694&amp;"|"&amp;(N694-1),$O$5:$O$1004,0)))</f>
        <v/>
      </c>
      <c r="Q694" t="str">
        <f>IF(N694="","",IF(P694=0,SUMIFS(Calcoli!$C$7:$C$21,Calcoli!$A$7:$A$21,C694),INDEX($S$5:$S$1004,P694)))</f>
        <v/>
      </c>
      <c r="R694" t="str">
        <f>IF(N694="","",IF(P694=0,SUMIFS(Calcoli!$D$7:$D$21,Calcoli!$A$7:$A$21,C694),INDEX($T$5:$T$1004,P694)))</f>
        <v/>
      </c>
      <c r="S694" t="str">
        <f>IF(N694="","",IF(B694="Acquisto",Q694+N(D694),MAX(0,Q694-N(D694))))</f>
        <v/>
      </c>
      <c r="T694" t="str">
        <f>IF(N694="","",IF(B694="Acquisto",R694+J694+N(G694),IF(Q694&lt;=0,0,R694*(1-MIN(1,N(D694)/Q694)))))</f>
        <v/>
      </c>
      <c r="U694" t="str">
        <f>IF(B694&lt;&gt;"Vendita","",J694-N(G694)-IF(Q694&lt;=0,0,R694*MIN(1,N(D694)/Q694)))</f>
        <v/>
      </c>
      <c r="V694" t="str">
        <f>IF(B694&lt;&gt;"Dividendo","",IF(Calcoli!$B$251=1,J694,L694))</f>
        <v/>
      </c>
      <c r="W694" t="str">
        <f>IF(AND(V694&lt;&gt;"",ISNUMBER(A694)),A694,"")</f>
        <v/>
      </c>
    </row>
    <row r="695">
      <c r="A695" s="134" t="n"/>
      <c r="B695" s="116" t="n"/>
      <c r="C695" s="116" t="n"/>
      <c r="D695" s="121" t="n"/>
      <c r="E695" s="120" t="n"/>
      <c r="F695" s="120" t="n"/>
      <c r="G695" s="120" t="n"/>
      <c r="H695" s="120" t="n"/>
      <c r="I695" s="117" t="n"/>
      <c r="J695" s="123" t="str">
        <f>IF(B695="","",IF(F695&lt;&gt;"",N(F695),ROUND(N(D695)*N(E695),2)))</f>
        <v/>
      </c>
      <c r="K695" s="123" t="str">
        <f>IF(B695="","",IF(H695&lt;&gt;"",N(H695),IF(B695="Dividendo",ROUND(J695*IFERROR(INDEX(Calcoli!$V$7:$V$21,MATCH(C695,Calcoli!$A$7:$A$21,0)),0.26),2),IF(B695="Vendita",ROUND(MAX(0,U695)*IFERROR(INDEX(Calcoli!$V$7:$V$21,MATCH(C695,Calcoli!$A$7:$A$21,0)),0.26),2),0))))</f>
        <v/>
      </c>
      <c r="L695" s="135" t="str">
        <f>IF(B695="","",IF(B695="Acquisto",-(J695+N(G695)),J695-N(G695)-K695))</f>
        <v/>
      </c>
      <c r="M695" s="127" t="str">
        <f>IF(B695="","",IF(ISNA(MATCH(C695,ETF!$A$7:$A$21,0)),"ETF?",IF(NOT(ISNUMBER(A695)),"Data?",IF(AND(B695&lt;&gt;"Dividendo",N(D695)&lt;=0),"Quote?",IF(AND(B695="Vendita",N(D695)&gt;N(Q695)+0.000001),"Quote?",IF(J695&lt;=0,"Importo?","✓"))))))</f>
        <v/>
      </c>
      <c r="N695" t="str">
        <f>IF(OR(B695="Acquisto",B695="Vendita"),COUNTIFS($C$5:C695,C695,$B$5:B695,"Acquisto")+COUNTIFS($C$5:C695,C695,$B$5:B695,"Vendita"),"")</f>
        <v/>
      </c>
      <c r="O695" t="str">
        <f>IF(N695="","",C695&amp;"|"&amp;N695)</f>
        <v/>
      </c>
      <c r="P695" t="str">
        <f>IF(N695="","",IF(N695=1,0,MATCH(C695&amp;"|"&amp;(N695-1),$O$5:$O$1004,0)))</f>
        <v/>
      </c>
      <c r="Q695" t="str">
        <f>IF(N695="","",IF(P695=0,SUMIFS(Calcoli!$C$7:$C$21,Calcoli!$A$7:$A$21,C695),INDEX($S$5:$S$1004,P695)))</f>
        <v/>
      </c>
      <c r="R695" t="str">
        <f>IF(N695="","",IF(P695=0,SUMIFS(Calcoli!$D$7:$D$21,Calcoli!$A$7:$A$21,C695),INDEX($T$5:$T$1004,P695)))</f>
        <v/>
      </c>
      <c r="S695" t="str">
        <f>IF(N695="","",IF(B695="Acquisto",Q695+N(D695),MAX(0,Q695-N(D695))))</f>
        <v/>
      </c>
      <c r="T695" t="str">
        <f>IF(N695="","",IF(B695="Acquisto",R695+J695+N(G695),IF(Q695&lt;=0,0,R695*(1-MIN(1,N(D695)/Q695)))))</f>
        <v/>
      </c>
      <c r="U695" t="str">
        <f>IF(B695&lt;&gt;"Vendita","",J695-N(G695)-IF(Q695&lt;=0,0,R695*MIN(1,N(D695)/Q695)))</f>
        <v/>
      </c>
      <c r="V695" t="str">
        <f>IF(B695&lt;&gt;"Dividendo","",IF(Calcoli!$B$251=1,J695,L695))</f>
        <v/>
      </c>
      <c r="W695" t="str">
        <f>IF(AND(V695&lt;&gt;"",ISNUMBER(A695)),A695,"")</f>
        <v/>
      </c>
    </row>
    <row r="696">
      <c r="A696" s="134" t="n"/>
      <c r="B696" s="116" t="n"/>
      <c r="C696" s="116" t="n"/>
      <c r="D696" s="121" t="n"/>
      <c r="E696" s="120" t="n"/>
      <c r="F696" s="120" t="n"/>
      <c r="G696" s="120" t="n"/>
      <c r="H696" s="120" t="n"/>
      <c r="I696" s="117" t="n"/>
      <c r="J696" s="123" t="str">
        <f>IF(B696="","",IF(F696&lt;&gt;"",N(F696),ROUND(N(D696)*N(E696),2)))</f>
        <v/>
      </c>
      <c r="K696" s="123" t="str">
        <f>IF(B696="","",IF(H696&lt;&gt;"",N(H696),IF(B696="Dividendo",ROUND(J696*IFERROR(INDEX(Calcoli!$V$7:$V$21,MATCH(C696,Calcoli!$A$7:$A$21,0)),0.26),2),IF(B696="Vendita",ROUND(MAX(0,U696)*IFERROR(INDEX(Calcoli!$V$7:$V$21,MATCH(C696,Calcoli!$A$7:$A$21,0)),0.26),2),0))))</f>
        <v/>
      </c>
      <c r="L696" s="135" t="str">
        <f>IF(B696="","",IF(B696="Acquisto",-(J696+N(G696)),J696-N(G696)-K696))</f>
        <v/>
      </c>
      <c r="M696" s="127" t="str">
        <f>IF(B696="","",IF(ISNA(MATCH(C696,ETF!$A$7:$A$21,0)),"ETF?",IF(NOT(ISNUMBER(A696)),"Data?",IF(AND(B696&lt;&gt;"Dividendo",N(D696)&lt;=0),"Quote?",IF(AND(B696="Vendita",N(D696)&gt;N(Q696)+0.000001),"Quote?",IF(J696&lt;=0,"Importo?","✓"))))))</f>
        <v/>
      </c>
      <c r="N696" t="str">
        <f>IF(OR(B696="Acquisto",B696="Vendita"),COUNTIFS($C$5:C696,C696,$B$5:B696,"Acquisto")+COUNTIFS($C$5:C696,C696,$B$5:B696,"Vendita"),"")</f>
        <v/>
      </c>
      <c r="O696" t="str">
        <f>IF(N696="","",C696&amp;"|"&amp;N696)</f>
        <v/>
      </c>
      <c r="P696" t="str">
        <f>IF(N696="","",IF(N696=1,0,MATCH(C696&amp;"|"&amp;(N696-1),$O$5:$O$1004,0)))</f>
        <v/>
      </c>
      <c r="Q696" t="str">
        <f>IF(N696="","",IF(P696=0,SUMIFS(Calcoli!$C$7:$C$21,Calcoli!$A$7:$A$21,C696),INDEX($S$5:$S$1004,P696)))</f>
        <v/>
      </c>
      <c r="R696" t="str">
        <f>IF(N696="","",IF(P696=0,SUMIFS(Calcoli!$D$7:$D$21,Calcoli!$A$7:$A$21,C696),INDEX($T$5:$T$1004,P696)))</f>
        <v/>
      </c>
      <c r="S696" t="str">
        <f>IF(N696="","",IF(B696="Acquisto",Q696+N(D696),MAX(0,Q696-N(D696))))</f>
        <v/>
      </c>
      <c r="T696" t="str">
        <f>IF(N696="","",IF(B696="Acquisto",R696+J696+N(G696),IF(Q696&lt;=0,0,R696*(1-MIN(1,N(D696)/Q696)))))</f>
        <v/>
      </c>
      <c r="U696" t="str">
        <f>IF(B696&lt;&gt;"Vendita","",J696-N(G696)-IF(Q696&lt;=0,0,R696*MIN(1,N(D696)/Q696)))</f>
        <v/>
      </c>
      <c r="V696" t="str">
        <f>IF(B696&lt;&gt;"Dividendo","",IF(Calcoli!$B$251=1,J696,L696))</f>
        <v/>
      </c>
      <c r="W696" t="str">
        <f>IF(AND(V696&lt;&gt;"",ISNUMBER(A696)),A696,"")</f>
        <v/>
      </c>
    </row>
    <row r="697">
      <c r="A697" s="134" t="n"/>
      <c r="B697" s="116" t="n"/>
      <c r="C697" s="116" t="n"/>
      <c r="D697" s="121" t="n"/>
      <c r="E697" s="120" t="n"/>
      <c r="F697" s="120" t="n"/>
      <c r="G697" s="120" t="n"/>
      <c r="H697" s="120" t="n"/>
      <c r="I697" s="117" t="n"/>
      <c r="J697" s="123" t="str">
        <f>IF(B697="","",IF(F697&lt;&gt;"",N(F697),ROUND(N(D697)*N(E697),2)))</f>
        <v/>
      </c>
      <c r="K697" s="123" t="str">
        <f>IF(B697="","",IF(H697&lt;&gt;"",N(H697),IF(B697="Dividendo",ROUND(J697*IFERROR(INDEX(Calcoli!$V$7:$V$21,MATCH(C697,Calcoli!$A$7:$A$21,0)),0.26),2),IF(B697="Vendita",ROUND(MAX(0,U697)*IFERROR(INDEX(Calcoli!$V$7:$V$21,MATCH(C697,Calcoli!$A$7:$A$21,0)),0.26),2),0))))</f>
        <v/>
      </c>
      <c r="L697" s="135" t="str">
        <f>IF(B697="","",IF(B697="Acquisto",-(J697+N(G697)),J697-N(G697)-K697))</f>
        <v/>
      </c>
      <c r="M697" s="127" t="str">
        <f>IF(B697="","",IF(ISNA(MATCH(C697,ETF!$A$7:$A$21,0)),"ETF?",IF(NOT(ISNUMBER(A697)),"Data?",IF(AND(B697&lt;&gt;"Dividendo",N(D697)&lt;=0),"Quote?",IF(AND(B697="Vendita",N(D697)&gt;N(Q697)+0.000001),"Quote?",IF(J697&lt;=0,"Importo?","✓"))))))</f>
        <v/>
      </c>
      <c r="N697" t="str">
        <f>IF(OR(B697="Acquisto",B697="Vendita"),COUNTIFS($C$5:C697,C697,$B$5:B697,"Acquisto")+COUNTIFS($C$5:C697,C697,$B$5:B697,"Vendita"),"")</f>
        <v/>
      </c>
      <c r="O697" t="str">
        <f>IF(N697="","",C697&amp;"|"&amp;N697)</f>
        <v/>
      </c>
      <c r="P697" t="str">
        <f>IF(N697="","",IF(N697=1,0,MATCH(C697&amp;"|"&amp;(N697-1),$O$5:$O$1004,0)))</f>
        <v/>
      </c>
      <c r="Q697" t="str">
        <f>IF(N697="","",IF(P697=0,SUMIFS(Calcoli!$C$7:$C$21,Calcoli!$A$7:$A$21,C697),INDEX($S$5:$S$1004,P697)))</f>
        <v/>
      </c>
      <c r="R697" t="str">
        <f>IF(N697="","",IF(P697=0,SUMIFS(Calcoli!$D$7:$D$21,Calcoli!$A$7:$A$21,C697),INDEX($T$5:$T$1004,P697)))</f>
        <v/>
      </c>
      <c r="S697" t="str">
        <f>IF(N697="","",IF(B697="Acquisto",Q697+N(D697),MAX(0,Q697-N(D697))))</f>
        <v/>
      </c>
      <c r="T697" t="str">
        <f>IF(N697="","",IF(B697="Acquisto",R697+J697+N(G697),IF(Q697&lt;=0,0,R697*(1-MIN(1,N(D697)/Q697)))))</f>
        <v/>
      </c>
      <c r="U697" t="str">
        <f>IF(B697&lt;&gt;"Vendita","",J697-N(G697)-IF(Q697&lt;=0,0,R697*MIN(1,N(D697)/Q697)))</f>
        <v/>
      </c>
      <c r="V697" t="str">
        <f>IF(B697&lt;&gt;"Dividendo","",IF(Calcoli!$B$251=1,J697,L697))</f>
        <v/>
      </c>
      <c r="W697" t="str">
        <f>IF(AND(V697&lt;&gt;"",ISNUMBER(A697)),A697,"")</f>
        <v/>
      </c>
    </row>
    <row r="698">
      <c r="A698" s="134" t="n"/>
      <c r="B698" s="116" t="n"/>
      <c r="C698" s="116" t="n"/>
      <c r="D698" s="121" t="n"/>
      <c r="E698" s="120" t="n"/>
      <c r="F698" s="120" t="n"/>
      <c r="G698" s="120" t="n"/>
      <c r="H698" s="120" t="n"/>
      <c r="I698" s="117" t="n"/>
      <c r="J698" s="123" t="str">
        <f>IF(B698="","",IF(F698&lt;&gt;"",N(F698),ROUND(N(D698)*N(E698),2)))</f>
        <v/>
      </c>
      <c r="K698" s="123" t="str">
        <f>IF(B698="","",IF(H698&lt;&gt;"",N(H698),IF(B698="Dividendo",ROUND(J698*IFERROR(INDEX(Calcoli!$V$7:$V$21,MATCH(C698,Calcoli!$A$7:$A$21,0)),0.26),2),IF(B698="Vendita",ROUND(MAX(0,U698)*IFERROR(INDEX(Calcoli!$V$7:$V$21,MATCH(C698,Calcoli!$A$7:$A$21,0)),0.26),2),0))))</f>
        <v/>
      </c>
      <c r="L698" s="135" t="str">
        <f>IF(B698="","",IF(B698="Acquisto",-(J698+N(G698)),J698-N(G698)-K698))</f>
        <v/>
      </c>
      <c r="M698" s="127" t="str">
        <f>IF(B698="","",IF(ISNA(MATCH(C698,ETF!$A$7:$A$21,0)),"ETF?",IF(NOT(ISNUMBER(A698)),"Data?",IF(AND(B698&lt;&gt;"Dividendo",N(D698)&lt;=0),"Quote?",IF(AND(B698="Vendita",N(D698)&gt;N(Q698)+0.000001),"Quote?",IF(J698&lt;=0,"Importo?","✓"))))))</f>
        <v/>
      </c>
      <c r="N698" t="str">
        <f>IF(OR(B698="Acquisto",B698="Vendita"),COUNTIFS($C$5:C698,C698,$B$5:B698,"Acquisto")+COUNTIFS($C$5:C698,C698,$B$5:B698,"Vendita"),"")</f>
        <v/>
      </c>
      <c r="O698" t="str">
        <f>IF(N698="","",C698&amp;"|"&amp;N698)</f>
        <v/>
      </c>
      <c r="P698" t="str">
        <f>IF(N698="","",IF(N698=1,0,MATCH(C698&amp;"|"&amp;(N698-1),$O$5:$O$1004,0)))</f>
        <v/>
      </c>
      <c r="Q698" t="str">
        <f>IF(N698="","",IF(P698=0,SUMIFS(Calcoli!$C$7:$C$21,Calcoli!$A$7:$A$21,C698),INDEX($S$5:$S$1004,P698)))</f>
        <v/>
      </c>
      <c r="R698" t="str">
        <f>IF(N698="","",IF(P698=0,SUMIFS(Calcoli!$D$7:$D$21,Calcoli!$A$7:$A$21,C698),INDEX($T$5:$T$1004,P698)))</f>
        <v/>
      </c>
      <c r="S698" t="str">
        <f>IF(N698="","",IF(B698="Acquisto",Q698+N(D698),MAX(0,Q698-N(D698))))</f>
        <v/>
      </c>
      <c r="T698" t="str">
        <f>IF(N698="","",IF(B698="Acquisto",R698+J698+N(G698),IF(Q698&lt;=0,0,R698*(1-MIN(1,N(D698)/Q698)))))</f>
        <v/>
      </c>
      <c r="U698" t="str">
        <f>IF(B698&lt;&gt;"Vendita","",J698-N(G698)-IF(Q698&lt;=0,0,R698*MIN(1,N(D698)/Q698)))</f>
        <v/>
      </c>
      <c r="V698" t="str">
        <f>IF(B698&lt;&gt;"Dividendo","",IF(Calcoli!$B$251=1,J698,L698))</f>
        <v/>
      </c>
      <c r="W698" t="str">
        <f>IF(AND(V698&lt;&gt;"",ISNUMBER(A698)),A698,"")</f>
        <v/>
      </c>
    </row>
    <row r="699">
      <c r="A699" s="134" t="n"/>
      <c r="B699" s="116" t="n"/>
      <c r="C699" s="116" t="n"/>
      <c r="D699" s="121" t="n"/>
      <c r="E699" s="120" t="n"/>
      <c r="F699" s="120" t="n"/>
      <c r="G699" s="120" t="n"/>
      <c r="H699" s="120" t="n"/>
      <c r="I699" s="117" t="n"/>
      <c r="J699" s="123" t="str">
        <f>IF(B699="","",IF(F699&lt;&gt;"",N(F699),ROUND(N(D699)*N(E699),2)))</f>
        <v/>
      </c>
      <c r="K699" s="123" t="str">
        <f>IF(B699="","",IF(H699&lt;&gt;"",N(H699),IF(B699="Dividendo",ROUND(J699*IFERROR(INDEX(Calcoli!$V$7:$V$21,MATCH(C699,Calcoli!$A$7:$A$21,0)),0.26),2),IF(B699="Vendita",ROUND(MAX(0,U699)*IFERROR(INDEX(Calcoli!$V$7:$V$21,MATCH(C699,Calcoli!$A$7:$A$21,0)),0.26),2),0))))</f>
        <v/>
      </c>
      <c r="L699" s="135" t="str">
        <f>IF(B699="","",IF(B699="Acquisto",-(J699+N(G699)),J699-N(G699)-K699))</f>
        <v/>
      </c>
      <c r="M699" s="127" t="str">
        <f>IF(B699="","",IF(ISNA(MATCH(C699,ETF!$A$7:$A$21,0)),"ETF?",IF(NOT(ISNUMBER(A699)),"Data?",IF(AND(B699&lt;&gt;"Dividendo",N(D699)&lt;=0),"Quote?",IF(AND(B699="Vendita",N(D699)&gt;N(Q699)+0.000001),"Quote?",IF(J699&lt;=0,"Importo?","✓"))))))</f>
        <v/>
      </c>
      <c r="N699" t="str">
        <f>IF(OR(B699="Acquisto",B699="Vendita"),COUNTIFS($C$5:C699,C699,$B$5:B699,"Acquisto")+COUNTIFS($C$5:C699,C699,$B$5:B699,"Vendita"),"")</f>
        <v/>
      </c>
      <c r="O699" t="str">
        <f>IF(N699="","",C699&amp;"|"&amp;N699)</f>
        <v/>
      </c>
      <c r="P699" t="str">
        <f>IF(N699="","",IF(N699=1,0,MATCH(C699&amp;"|"&amp;(N699-1),$O$5:$O$1004,0)))</f>
        <v/>
      </c>
      <c r="Q699" t="str">
        <f>IF(N699="","",IF(P699=0,SUMIFS(Calcoli!$C$7:$C$21,Calcoli!$A$7:$A$21,C699),INDEX($S$5:$S$1004,P699)))</f>
        <v/>
      </c>
      <c r="R699" t="str">
        <f>IF(N699="","",IF(P699=0,SUMIFS(Calcoli!$D$7:$D$21,Calcoli!$A$7:$A$21,C699),INDEX($T$5:$T$1004,P699)))</f>
        <v/>
      </c>
      <c r="S699" t="str">
        <f>IF(N699="","",IF(B699="Acquisto",Q699+N(D699),MAX(0,Q699-N(D699))))</f>
        <v/>
      </c>
      <c r="T699" t="str">
        <f>IF(N699="","",IF(B699="Acquisto",R699+J699+N(G699),IF(Q699&lt;=0,0,R699*(1-MIN(1,N(D699)/Q699)))))</f>
        <v/>
      </c>
      <c r="U699" t="str">
        <f>IF(B699&lt;&gt;"Vendita","",J699-N(G699)-IF(Q699&lt;=0,0,R699*MIN(1,N(D699)/Q699)))</f>
        <v/>
      </c>
      <c r="V699" t="str">
        <f>IF(B699&lt;&gt;"Dividendo","",IF(Calcoli!$B$251=1,J699,L699))</f>
        <v/>
      </c>
      <c r="W699" t="str">
        <f>IF(AND(V699&lt;&gt;"",ISNUMBER(A699)),A699,"")</f>
        <v/>
      </c>
    </row>
    <row r="700">
      <c r="A700" s="134" t="n"/>
      <c r="B700" s="116" t="n"/>
      <c r="C700" s="116" t="n"/>
      <c r="D700" s="121" t="n"/>
      <c r="E700" s="120" t="n"/>
      <c r="F700" s="120" t="n"/>
      <c r="G700" s="120" t="n"/>
      <c r="H700" s="120" t="n"/>
      <c r="I700" s="117" t="n"/>
      <c r="J700" s="123" t="str">
        <f>IF(B700="","",IF(F700&lt;&gt;"",N(F700),ROUND(N(D700)*N(E700),2)))</f>
        <v/>
      </c>
      <c r="K700" s="123" t="str">
        <f>IF(B700="","",IF(H700&lt;&gt;"",N(H700),IF(B700="Dividendo",ROUND(J700*IFERROR(INDEX(Calcoli!$V$7:$V$21,MATCH(C700,Calcoli!$A$7:$A$21,0)),0.26),2),IF(B700="Vendita",ROUND(MAX(0,U700)*IFERROR(INDEX(Calcoli!$V$7:$V$21,MATCH(C700,Calcoli!$A$7:$A$21,0)),0.26),2),0))))</f>
        <v/>
      </c>
      <c r="L700" s="135" t="str">
        <f>IF(B700="","",IF(B700="Acquisto",-(J700+N(G700)),J700-N(G700)-K700))</f>
        <v/>
      </c>
      <c r="M700" s="127" t="str">
        <f>IF(B700="","",IF(ISNA(MATCH(C700,ETF!$A$7:$A$21,0)),"ETF?",IF(NOT(ISNUMBER(A700)),"Data?",IF(AND(B700&lt;&gt;"Dividendo",N(D700)&lt;=0),"Quote?",IF(AND(B700="Vendita",N(D700)&gt;N(Q700)+0.000001),"Quote?",IF(J700&lt;=0,"Importo?","✓"))))))</f>
        <v/>
      </c>
      <c r="N700" t="str">
        <f>IF(OR(B700="Acquisto",B700="Vendita"),COUNTIFS($C$5:C700,C700,$B$5:B700,"Acquisto")+COUNTIFS($C$5:C700,C700,$B$5:B700,"Vendita"),"")</f>
        <v/>
      </c>
      <c r="O700" t="str">
        <f>IF(N700="","",C700&amp;"|"&amp;N700)</f>
        <v/>
      </c>
      <c r="P700" t="str">
        <f>IF(N700="","",IF(N700=1,0,MATCH(C700&amp;"|"&amp;(N700-1),$O$5:$O$1004,0)))</f>
        <v/>
      </c>
      <c r="Q700" t="str">
        <f>IF(N700="","",IF(P700=0,SUMIFS(Calcoli!$C$7:$C$21,Calcoli!$A$7:$A$21,C700),INDEX($S$5:$S$1004,P700)))</f>
        <v/>
      </c>
      <c r="R700" t="str">
        <f>IF(N700="","",IF(P700=0,SUMIFS(Calcoli!$D$7:$D$21,Calcoli!$A$7:$A$21,C700),INDEX($T$5:$T$1004,P700)))</f>
        <v/>
      </c>
      <c r="S700" t="str">
        <f>IF(N700="","",IF(B700="Acquisto",Q700+N(D700),MAX(0,Q700-N(D700))))</f>
        <v/>
      </c>
      <c r="T700" t="str">
        <f>IF(N700="","",IF(B700="Acquisto",R700+J700+N(G700),IF(Q700&lt;=0,0,R700*(1-MIN(1,N(D700)/Q700)))))</f>
        <v/>
      </c>
      <c r="U700" t="str">
        <f>IF(B700&lt;&gt;"Vendita","",J700-N(G700)-IF(Q700&lt;=0,0,R700*MIN(1,N(D700)/Q700)))</f>
        <v/>
      </c>
      <c r="V700" t="str">
        <f>IF(B700&lt;&gt;"Dividendo","",IF(Calcoli!$B$251=1,J700,L700))</f>
        <v/>
      </c>
      <c r="W700" t="str">
        <f>IF(AND(V700&lt;&gt;"",ISNUMBER(A700)),A700,"")</f>
        <v/>
      </c>
    </row>
    <row r="701">
      <c r="A701" s="134" t="n"/>
      <c r="B701" s="116" t="n"/>
      <c r="C701" s="116" t="n"/>
      <c r="D701" s="121" t="n"/>
      <c r="E701" s="120" t="n"/>
      <c r="F701" s="120" t="n"/>
      <c r="G701" s="120" t="n"/>
      <c r="H701" s="120" t="n"/>
      <c r="I701" s="117" t="n"/>
      <c r="J701" s="123" t="str">
        <f>IF(B701="","",IF(F701&lt;&gt;"",N(F701),ROUND(N(D701)*N(E701),2)))</f>
        <v/>
      </c>
      <c r="K701" s="123" t="str">
        <f>IF(B701="","",IF(H701&lt;&gt;"",N(H701),IF(B701="Dividendo",ROUND(J701*IFERROR(INDEX(Calcoli!$V$7:$V$21,MATCH(C701,Calcoli!$A$7:$A$21,0)),0.26),2),IF(B701="Vendita",ROUND(MAX(0,U701)*IFERROR(INDEX(Calcoli!$V$7:$V$21,MATCH(C701,Calcoli!$A$7:$A$21,0)),0.26),2),0))))</f>
        <v/>
      </c>
      <c r="L701" s="135" t="str">
        <f>IF(B701="","",IF(B701="Acquisto",-(J701+N(G701)),J701-N(G701)-K701))</f>
        <v/>
      </c>
      <c r="M701" s="127" t="str">
        <f>IF(B701="","",IF(ISNA(MATCH(C701,ETF!$A$7:$A$21,0)),"ETF?",IF(NOT(ISNUMBER(A701)),"Data?",IF(AND(B701&lt;&gt;"Dividendo",N(D701)&lt;=0),"Quote?",IF(AND(B701="Vendita",N(D701)&gt;N(Q701)+0.000001),"Quote?",IF(J701&lt;=0,"Importo?","✓"))))))</f>
        <v/>
      </c>
      <c r="N701" t="str">
        <f>IF(OR(B701="Acquisto",B701="Vendita"),COUNTIFS($C$5:C701,C701,$B$5:B701,"Acquisto")+COUNTIFS($C$5:C701,C701,$B$5:B701,"Vendita"),"")</f>
        <v/>
      </c>
      <c r="O701" t="str">
        <f>IF(N701="","",C701&amp;"|"&amp;N701)</f>
        <v/>
      </c>
      <c r="P701" t="str">
        <f>IF(N701="","",IF(N701=1,0,MATCH(C701&amp;"|"&amp;(N701-1),$O$5:$O$1004,0)))</f>
        <v/>
      </c>
      <c r="Q701" t="str">
        <f>IF(N701="","",IF(P701=0,SUMIFS(Calcoli!$C$7:$C$21,Calcoli!$A$7:$A$21,C701),INDEX($S$5:$S$1004,P701)))</f>
        <v/>
      </c>
      <c r="R701" t="str">
        <f>IF(N701="","",IF(P701=0,SUMIFS(Calcoli!$D$7:$D$21,Calcoli!$A$7:$A$21,C701),INDEX($T$5:$T$1004,P701)))</f>
        <v/>
      </c>
      <c r="S701" t="str">
        <f>IF(N701="","",IF(B701="Acquisto",Q701+N(D701),MAX(0,Q701-N(D701))))</f>
        <v/>
      </c>
      <c r="T701" t="str">
        <f>IF(N701="","",IF(B701="Acquisto",R701+J701+N(G701),IF(Q701&lt;=0,0,R701*(1-MIN(1,N(D701)/Q701)))))</f>
        <v/>
      </c>
      <c r="U701" t="str">
        <f>IF(B701&lt;&gt;"Vendita","",J701-N(G701)-IF(Q701&lt;=0,0,R701*MIN(1,N(D701)/Q701)))</f>
        <v/>
      </c>
      <c r="V701" t="str">
        <f>IF(B701&lt;&gt;"Dividendo","",IF(Calcoli!$B$251=1,J701,L701))</f>
        <v/>
      </c>
      <c r="W701" t="str">
        <f>IF(AND(V701&lt;&gt;"",ISNUMBER(A701)),A701,"")</f>
        <v/>
      </c>
    </row>
    <row r="702">
      <c r="A702" s="134" t="n"/>
      <c r="B702" s="116" t="n"/>
      <c r="C702" s="116" t="n"/>
      <c r="D702" s="121" t="n"/>
      <c r="E702" s="120" t="n"/>
      <c r="F702" s="120" t="n"/>
      <c r="G702" s="120" t="n"/>
      <c r="H702" s="120" t="n"/>
      <c r="I702" s="117" t="n"/>
      <c r="J702" s="123" t="str">
        <f>IF(B702="","",IF(F702&lt;&gt;"",N(F702),ROUND(N(D702)*N(E702),2)))</f>
        <v/>
      </c>
      <c r="K702" s="123" t="str">
        <f>IF(B702="","",IF(H702&lt;&gt;"",N(H702),IF(B702="Dividendo",ROUND(J702*IFERROR(INDEX(Calcoli!$V$7:$V$21,MATCH(C702,Calcoli!$A$7:$A$21,0)),0.26),2),IF(B702="Vendita",ROUND(MAX(0,U702)*IFERROR(INDEX(Calcoli!$V$7:$V$21,MATCH(C702,Calcoli!$A$7:$A$21,0)),0.26),2),0))))</f>
        <v/>
      </c>
      <c r="L702" s="135" t="str">
        <f>IF(B702="","",IF(B702="Acquisto",-(J702+N(G702)),J702-N(G702)-K702))</f>
        <v/>
      </c>
      <c r="M702" s="127" t="str">
        <f>IF(B702="","",IF(ISNA(MATCH(C702,ETF!$A$7:$A$21,0)),"ETF?",IF(NOT(ISNUMBER(A702)),"Data?",IF(AND(B702&lt;&gt;"Dividendo",N(D702)&lt;=0),"Quote?",IF(AND(B702="Vendita",N(D702)&gt;N(Q702)+0.000001),"Quote?",IF(J702&lt;=0,"Importo?","✓"))))))</f>
        <v/>
      </c>
      <c r="N702" t="str">
        <f>IF(OR(B702="Acquisto",B702="Vendita"),COUNTIFS($C$5:C702,C702,$B$5:B702,"Acquisto")+COUNTIFS($C$5:C702,C702,$B$5:B702,"Vendita"),"")</f>
        <v/>
      </c>
      <c r="O702" t="str">
        <f>IF(N702="","",C702&amp;"|"&amp;N702)</f>
        <v/>
      </c>
      <c r="P702" t="str">
        <f>IF(N702="","",IF(N702=1,0,MATCH(C702&amp;"|"&amp;(N702-1),$O$5:$O$1004,0)))</f>
        <v/>
      </c>
      <c r="Q702" t="str">
        <f>IF(N702="","",IF(P702=0,SUMIFS(Calcoli!$C$7:$C$21,Calcoli!$A$7:$A$21,C702),INDEX($S$5:$S$1004,P702)))</f>
        <v/>
      </c>
      <c r="R702" t="str">
        <f>IF(N702="","",IF(P702=0,SUMIFS(Calcoli!$D$7:$D$21,Calcoli!$A$7:$A$21,C702),INDEX($T$5:$T$1004,P702)))</f>
        <v/>
      </c>
      <c r="S702" t="str">
        <f>IF(N702="","",IF(B702="Acquisto",Q702+N(D702),MAX(0,Q702-N(D702))))</f>
        <v/>
      </c>
      <c r="T702" t="str">
        <f>IF(N702="","",IF(B702="Acquisto",R702+J702+N(G702),IF(Q702&lt;=0,0,R702*(1-MIN(1,N(D702)/Q702)))))</f>
        <v/>
      </c>
      <c r="U702" t="str">
        <f>IF(B702&lt;&gt;"Vendita","",J702-N(G702)-IF(Q702&lt;=0,0,R702*MIN(1,N(D702)/Q702)))</f>
        <v/>
      </c>
      <c r="V702" t="str">
        <f>IF(B702&lt;&gt;"Dividendo","",IF(Calcoli!$B$251=1,J702,L702))</f>
        <v/>
      </c>
      <c r="W702" t="str">
        <f>IF(AND(V702&lt;&gt;"",ISNUMBER(A702)),A702,"")</f>
        <v/>
      </c>
    </row>
    <row r="703">
      <c r="A703" s="134" t="n"/>
      <c r="B703" s="116" t="n"/>
      <c r="C703" s="116" t="n"/>
      <c r="D703" s="121" t="n"/>
      <c r="E703" s="120" t="n"/>
      <c r="F703" s="120" t="n"/>
      <c r="G703" s="120" t="n"/>
      <c r="H703" s="120" t="n"/>
      <c r="I703" s="117" t="n"/>
      <c r="J703" s="123" t="str">
        <f>IF(B703="","",IF(F703&lt;&gt;"",N(F703),ROUND(N(D703)*N(E703),2)))</f>
        <v/>
      </c>
      <c r="K703" s="123" t="str">
        <f>IF(B703="","",IF(H703&lt;&gt;"",N(H703),IF(B703="Dividendo",ROUND(J703*IFERROR(INDEX(Calcoli!$V$7:$V$21,MATCH(C703,Calcoli!$A$7:$A$21,0)),0.26),2),IF(B703="Vendita",ROUND(MAX(0,U703)*IFERROR(INDEX(Calcoli!$V$7:$V$21,MATCH(C703,Calcoli!$A$7:$A$21,0)),0.26),2),0))))</f>
        <v/>
      </c>
      <c r="L703" s="135" t="str">
        <f>IF(B703="","",IF(B703="Acquisto",-(J703+N(G703)),J703-N(G703)-K703))</f>
        <v/>
      </c>
      <c r="M703" s="127" t="str">
        <f>IF(B703="","",IF(ISNA(MATCH(C703,ETF!$A$7:$A$21,0)),"ETF?",IF(NOT(ISNUMBER(A703)),"Data?",IF(AND(B703&lt;&gt;"Dividendo",N(D703)&lt;=0),"Quote?",IF(AND(B703="Vendita",N(D703)&gt;N(Q703)+0.000001),"Quote?",IF(J703&lt;=0,"Importo?","✓"))))))</f>
        <v/>
      </c>
      <c r="N703" t="str">
        <f>IF(OR(B703="Acquisto",B703="Vendita"),COUNTIFS($C$5:C703,C703,$B$5:B703,"Acquisto")+COUNTIFS($C$5:C703,C703,$B$5:B703,"Vendita"),"")</f>
        <v/>
      </c>
      <c r="O703" t="str">
        <f>IF(N703="","",C703&amp;"|"&amp;N703)</f>
        <v/>
      </c>
      <c r="P703" t="str">
        <f>IF(N703="","",IF(N703=1,0,MATCH(C703&amp;"|"&amp;(N703-1),$O$5:$O$1004,0)))</f>
        <v/>
      </c>
      <c r="Q703" t="str">
        <f>IF(N703="","",IF(P703=0,SUMIFS(Calcoli!$C$7:$C$21,Calcoli!$A$7:$A$21,C703),INDEX($S$5:$S$1004,P703)))</f>
        <v/>
      </c>
      <c r="R703" t="str">
        <f>IF(N703="","",IF(P703=0,SUMIFS(Calcoli!$D$7:$D$21,Calcoli!$A$7:$A$21,C703),INDEX($T$5:$T$1004,P703)))</f>
        <v/>
      </c>
      <c r="S703" t="str">
        <f>IF(N703="","",IF(B703="Acquisto",Q703+N(D703),MAX(0,Q703-N(D703))))</f>
        <v/>
      </c>
      <c r="T703" t="str">
        <f>IF(N703="","",IF(B703="Acquisto",R703+J703+N(G703),IF(Q703&lt;=0,0,R703*(1-MIN(1,N(D703)/Q703)))))</f>
        <v/>
      </c>
      <c r="U703" t="str">
        <f>IF(B703&lt;&gt;"Vendita","",J703-N(G703)-IF(Q703&lt;=0,0,R703*MIN(1,N(D703)/Q703)))</f>
        <v/>
      </c>
      <c r="V703" t="str">
        <f>IF(B703&lt;&gt;"Dividendo","",IF(Calcoli!$B$251=1,J703,L703))</f>
        <v/>
      </c>
      <c r="W703" t="str">
        <f>IF(AND(V703&lt;&gt;"",ISNUMBER(A703)),A703,"")</f>
        <v/>
      </c>
    </row>
    <row r="704">
      <c r="A704" s="134" t="n"/>
      <c r="B704" s="116" t="n"/>
      <c r="C704" s="116" t="n"/>
      <c r="D704" s="121" t="n"/>
      <c r="E704" s="120" t="n"/>
      <c r="F704" s="120" t="n"/>
      <c r="G704" s="120" t="n"/>
      <c r="H704" s="120" t="n"/>
      <c r="I704" s="117" t="n"/>
      <c r="J704" s="123" t="str">
        <f>IF(B704="","",IF(F704&lt;&gt;"",N(F704),ROUND(N(D704)*N(E704),2)))</f>
        <v/>
      </c>
      <c r="K704" s="123" t="str">
        <f>IF(B704="","",IF(H704&lt;&gt;"",N(H704),IF(B704="Dividendo",ROUND(J704*IFERROR(INDEX(Calcoli!$V$7:$V$21,MATCH(C704,Calcoli!$A$7:$A$21,0)),0.26),2),IF(B704="Vendita",ROUND(MAX(0,U704)*IFERROR(INDEX(Calcoli!$V$7:$V$21,MATCH(C704,Calcoli!$A$7:$A$21,0)),0.26),2),0))))</f>
        <v/>
      </c>
      <c r="L704" s="135" t="str">
        <f>IF(B704="","",IF(B704="Acquisto",-(J704+N(G704)),J704-N(G704)-K704))</f>
        <v/>
      </c>
      <c r="M704" s="127" t="str">
        <f>IF(B704="","",IF(ISNA(MATCH(C704,ETF!$A$7:$A$21,0)),"ETF?",IF(NOT(ISNUMBER(A704)),"Data?",IF(AND(B704&lt;&gt;"Dividendo",N(D704)&lt;=0),"Quote?",IF(AND(B704="Vendita",N(D704)&gt;N(Q704)+0.000001),"Quote?",IF(J704&lt;=0,"Importo?","✓"))))))</f>
        <v/>
      </c>
      <c r="N704" t="str">
        <f>IF(OR(B704="Acquisto",B704="Vendita"),COUNTIFS($C$5:C704,C704,$B$5:B704,"Acquisto")+COUNTIFS($C$5:C704,C704,$B$5:B704,"Vendita"),"")</f>
        <v/>
      </c>
      <c r="O704" t="str">
        <f>IF(N704="","",C704&amp;"|"&amp;N704)</f>
        <v/>
      </c>
      <c r="P704" t="str">
        <f>IF(N704="","",IF(N704=1,0,MATCH(C704&amp;"|"&amp;(N704-1),$O$5:$O$1004,0)))</f>
        <v/>
      </c>
      <c r="Q704" t="str">
        <f>IF(N704="","",IF(P704=0,SUMIFS(Calcoli!$C$7:$C$21,Calcoli!$A$7:$A$21,C704),INDEX($S$5:$S$1004,P704)))</f>
        <v/>
      </c>
      <c r="R704" t="str">
        <f>IF(N704="","",IF(P704=0,SUMIFS(Calcoli!$D$7:$D$21,Calcoli!$A$7:$A$21,C704),INDEX($T$5:$T$1004,P704)))</f>
        <v/>
      </c>
      <c r="S704" t="str">
        <f>IF(N704="","",IF(B704="Acquisto",Q704+N(D704),MAX(0,Q704-N(D704))))</f>
        <v/>
      </c>
      <c r="T704" t="str">
        <f>IF(N704="","",IF(B704="Acquisto",R704+J704+N(G704),IF(Q704&lt;=0,0,R704*(1-MIN(1,N(D704)/Q704)))))</f>
        <v/>
      </c>
      <c r="U704" t="str">
        <f>IF(B704&lt;&gt;"Vendita","",J704-N(G704)-IF(Q704&lt;=0,0,R704*MIN(1,N(D704)/Q704)))</f>
        <v/>
      </c>
      <c r="V704" t="str">
        <f>IF(B704&lt;&gt;"Dividendo","",IF(Calcoli!$B$251=1,J704,L704))</f>
        <v/>
      </c>
      <c r="W704" t="str">
        <f>IF(AND(V704&lt;&gt;"",ISNUMBER(A704)),A704,"")</f>
        <v/>
      </c>
    </row>
    <row r="705">
      <c r="A705" s="134" t="n"/>
      <c r="B705" s="116" t="n"/>
      <c r="C705" s="116" t="n"/>
      <c r="D705" s="121" t="n"/>
      <c r="E705" s="120" t="n"/>
      <c r="F705" s="120" t="n"/>
      <c r="G705" s="120" t="n"/>
      <c r="H705" s="120" t="n"/>
      <c r="I705" s="117" t="n"/>
      <c r="J705" s="123" t="str">
        <f>IF(B705="","",IF(F705&lt;&gt;"",N(F705),ROUND(N(D705)*N(E705),2)))</f>
        <v/>
      </c>
      <c r="K705" s="123" t="str">
        <f>IF(B705="","",IF(H705&lt;&gt;"",N(H705),IF(B705="Dividendo",ROUND(J705*IFERROR(INDEX(Calcoli!$V$7:$V$21,MATCH(C705,Calcoli!$A$7:$A$21,0)),0.26),2),IF(B705="Vendita",ROUND(MAX(0,U705)*IFERROR(INDEX(Calcoli!$V$7:$V$21,MATCH(C705,Calcoli!$A$7:$A$21,0)),0.26),2),0))))</f>
        <v/>
      </c>
      <c r="L705" s="135" t="str">
        <f>IF(B705="","",IF(B705="Acquisto",-(J705+N(G705)),J705-N(G705)-K705))</f>
        <v/>
      </c>
      <c r="M705" s="127" t="str">
        <f>IF(B705="","",IF(ISNA(MATCH(C705,ETF!$A$7:$A$21,0)),"ETF?",IF(NOT(ISNUMBER(A705)),"Data?",IF(AND(B705&lt;&gt;"Dividendo",N(D705)&lt;=0),"Quote?",IF(AND(B705="Vendita",N(D705)&gt;N(Q705)+0.000001),"Quote?",IF(J705&lt;=0,"Importo?","✓"))))))</f>
        <v/>
      </c>
      <c r="N705" t="str">
        <f>IF(OR(B705="Acquisto",B705="Vendita"),COUNTIFS($C$5:C705,C705,$B$5:B705,"Acquisto")+COUNTIFS($C$5:C705,C705,$B$5:B705,"Vendita"),"")</f>
        <v/>
      </c>
      <c r="O705" t="str">
        <f>IF(N705="","",C705&amp;"|"&amp;N705)</f>
        <v/>
      </c>
      <c r="P705" t="str">
        <f>IF(N705="","",IF(N705=1,0,MATCH(C705&amp;"|"&amp;(N705-1),$O$5:$O$1004,0)))</f>
        <v/>
      </c>
      <c r="Q705" t="str">
        <f>IF(N705="","",IF(P705=0,SUMIFS(Calcoli!$C$7:$C$21,Calcoli!$A$7:$A$21,C705),INDEX($S$5:$S$1004,P705)))</f>
        <v/>
      </c>
      <c r="R705" t="str">
        <f>IF(N705="","",IF(P705=0,SUMIFS(Calcoli!$D$7:$D$21,Calcoli!$A$7:$A$21,C705),INDEX($T$5:$T$1004,P705)))</f>
        <v/>
      </c>
      <c r="S705" t="str">
        <f>IF(N705="","",IF(B705="Acquisto",Q705+N(D705),MAX(0,Q705-N(D705))))</f>
        <v/>
      </c>
      <c r="T705" t="str">
        <f>IF(N705="","",IF(B705="Acquisto",R705+J705+N(G705),IF(Q705&lt;=0,0,R705*(1-MIN(1,N(D705)/Q705)))))</f>
        <v/>
      </c>
      <c r="U705" t="str">
        <f>IF(B705&lt;&gt;"Vendita","",J705-N(G705)-IF(Q705&lt;=0,0,R705*MIN(1,N(D705)/Q705)))</f>
        <v/>
      </c>
      <c r="V705" t="str">
        <f>IF(B705&lt;&gt;"Dividendo","",IF(Calcoli!$B$251=1,J705,L705))</f>
        <v/>
      </c>
      <c r="W705" t="str">
        <f>IF(AND(V705&lt;&gt;"",ISNUMBER(A705)),A705,"")</f>
        <v/>
      </c>
    </row>
    <row r="706">
      <c r="A706" s="134" t="n"/>
      <c r="B706" s="116" t="n"/>
      <c r="C706" s="116" t="n"/>
      <c r="D706" s="121" t="n"/>
      <c r="E706" s="120" t="n"/>
      <c r="F706" s="120" t="n"/>
      <c r="G706" s="120" t="n"/>
      <c r="H706" s="120" t="n"/>
      <c r="I706" s="117" t="n"/>
      <c r="J706" s="123" t="str">
        <f>IF(B706="","",IF(F706&lt;&gt;"",N(F706),ROUND(N(D706)*N(E706),2)))</f>
        <v/>
      </c>
      <c r="K706" s="123" t="str">
        <f>IF(B706="","",IF(H706&lt;&gt;"",N(H706),IF(B706="Dividendo",ROUND(J706*IFERROR(INDEX(Calcoli!$V$7:$V$21,MATCH(C706,Calcoli!$A$7:$A$21,0)),0.26),2),IF(B706="Vendita",ROUND(MAX(0,U706)*IFERROR(INDEX(Calcoli!$V$7:$V$21,MATCH(C706,Calcoli!$A$7:$A$21,0)),0.26),2),0))))</f>
        <v/>
      </c>
      <c r="L706" s="135" t="str">
        <f>IF(B706="","",IF(B706="Acquisto",-(J706+N(G706)),J706-N(G706)-K706))</f>
        <v/>
      </c>
      <c r="M706" s="127" t="str">
        <f>IF(B706="","",IF(ISNA(MATCH(C706,ETF!$A$7:$A$21,0)),"ETF?",IF(NOT(ISNUMBER(A706)),"Data?",IF(AND(B706&lt;&gt;"Dividendo",N(D706)&lt;=0),"Quote?",IF(AND(B706="Vendita",N(D706)&gt;N(Q706)+0.000001),"Quote?",IF(J706&lt;=0,"Importo?","✓"))))))</f>
        <v/>
      </c>
      <c r="N706" t="str">
        <f>IF(OR(B706="Acquisto",B706="Vendita"),COUNTIFS($C$5:C706,C706,$B$5:B706,"Acquisto")+COUNTIFS($C$5:C706,C706,$B$5:B706,"Vendita"),"")</f>
        <v/>
      </c>
      <c r="O706" t="str">
        <f>IF(N706="","",C706&amp;"|"&amp;N706)</f>
        <v/>
      </c>
      <c r="P706" t="str">
        <f>IF(N706="","",IF(N706=1,0,MATCH(C706&amp;"|"&amp;(N706-1),$O$5:$O$1004,0)))</f>
        <v/>
      </c>
      <c r="Q706" t="str">
        <f>IF(N706="","",IF(P706=0,SUMIFS(Calcoli!$C$7:$C$21,Calcoli!$A$7:$A$21,C706),INDEX($S$5:$S$1004,P706)))</f>
        <v/>
      </c>
      <c r="R706" t="str">
        <f>IF(N706="","",IF(P706=0,SUMIFS(Calcoli!$D$7:$D$21,Calcoli!$A$7:$A$21,C706),INDEX($T$5:$T$1004,P706)))</f>
        <v/>
      </c>
      <c r="S706" t="str">
        <f>IF(N706="","",IF(B706="Acquisto",Q706+N(D706),MAX(0,Q706-N(D706))))</f>
        <v/>
      </c>
      <c r="T706" t="str">
        <f>IF(N706="","",IF(B706="Acquisto",R706+J706+N(G706),IF(Q706&lt;=0,0,R706*(1-MIN(1,N(D706)/Q706)))))</f>
        <v/>
      </c>
      <c r="U706" t="str">
        <f>IF(B706&lt;&gt;"Vendita","",J706-N(G706)-IF(Q706&lt;=0,0,R706*MIN(1,N(D706)/Q706)))</f>
        <v/>
      </c>
      <c r="V706" t="str">
        <f>IF(B706&lt;&gt;"Dividendo","",IF(Calcoli!$B$251=1,J706,L706))</f>
        <v/>
      </c>
      <c r="W706" t="str">
        <f>IF(AND(V706&lt;&gt;"",ISNUMBER(A706)),A706,"")</f>
        <v/>
      </c>
    </row>
    <row r="707">
      <c r="A707" s="134" t="n"/>
      <c r="B707" s="116" t="n"/>
      <c r="C707" s="116" t="n"/>
      <c r="D707" s="121" t="n"/>
      <c r="E707" s="120" t="n"/>
      <c r="F707" s="120" t="n"/>
      <c r="G707" s="120" t="n"/>
      <c r="H707" s="120" t="n"/>
      <c r="I707" s="117" t="n"/>
      <c r="J707" s="123" t="str">
        <f>IF(B707="","",IF(F707&lt;&gt;"",N(F707),ROUND(N(D707)*N(E707),2)))</f>
        <v/>
      </c>
      <c r="K707" s="123" t="str">
        <f>IF(B707="","",IF(H707&lt;&gt;"",N(H707),IF(B707="Dividendo",ROUND(J707*IFERROR(INDEX(Calcoli!$V$7:$V$21,MATCH(C707,Calcoli!$A$7:$A$21,0)),0.26),2),IF(B707="Vendita",ROUND(MAX(0,U707)*IFERROR(INDEX(Calcoli!$V$7:$V$21,MATCH(C707,Calcoli!$A$7:$A$21,0)),0.26),2),0))))</f>
        <v/>
      </c>
      <c r="L707" s="135" t="str">
        <f>IF(B707="","",IF(B707="Acquisto",-(J707+N(G707)),J707-N(G707)-K707))</f>
        <v/>
      </c>
      <c r="M707" s="127" t="str">
        <f>IF(B707="","",IF(ISNA(MATCH(C707,ETF!$A$7:$A$21,0)),"ETF?",IF(NOT(ISNUMBER(A707)),"Data?",IF(AND(B707&lt;&gt;"Dividendo",N(D707)&lt;=0),"Quote?",IF(AND(B707="Vendita",N(D707)&gt;N(Q707)+0.000001),"Quote?",IF(J707&lt;=0,"Importo?","✓"))))))</f>
        <v/>
      </c>
      <c r="N707" t="str">
        <f>IF(OR(B707="Acquisto",B707="Vendita"),COUNTIFS($C$5:C707,C707,$B$5:B707,"Acquisto")+COUNTIFS($C$5:C707,C707,$B$5:B707,"Vendita"),"")</f>
        <v/>
      </c>
      <c r="O707" t="str">
        <f>IF(N707="","",C707&amp;"|"&amp;N707)</f>
        <v/>
      </c>
      <c r="P707" t="str">
        <f>IF(N707="","",IF(N707=1,0,MATCH(C707&amp;"|"&amp;(N707-1),$O$5:$O$1004,0)))</f>
        <v/>
      </c>
      <c r="Q707" t="str">
        <f>IF(N707="","",IF(P707=0,SUMIFS(Calcoli!$C$7:$C$21,Calcoli!$A$7:$A$21,C707),INDEX($S$5:$S$1004,P707)))</f>
        <v/>
      </c>
      <c r="R707" t="str">
        <f>IF(N707="","",IF(P707=0,SUMIFS(Calcoli!$D$7:$D$21,Calcoli!$A$7:$A$21,C707),INDEX($T$5:$T$1004,P707)))</f>
        <v/>
      </c>
      <c r="S707" t="str">
        <f>IF(N707="","",IF(B707="Acquisto",Q707+N(D707),MAX(0,Q707-N(D707))))</f>
        <v/>
      </c>
      <c r="T707" t="str">
        <f>IF(N707="","",IF(B707="Acquisto",R707+J707+N(G707),IF(Q707&lt;=0,0,R707*(1-MIN(1,N(D707)/Q707)))))</f>
        <v/>
      </c>
      <c r="U707" t="str">
        <f>IF(B707&lt;&gt;"Vendita","",J707-N(G707)-IF(Q707&lt;=0,0,R707*MIN(1,N(D707)/Q707)))</f>
        <v/>
      </c>
      <c r="V707" t="str">
        <f>IF(B707&lt;&gt;"Dividendo","",IF(Calcoli!$B$251=1,J707,L707))</f>
        <v/>
      </c>
      <c r="W707" t="str">
        <f>IF(AND(V707&lt;&gt;"",ISNUMBER(A707)),A707,"")</f>
        <v/>
      </c>
    </row>
    <row r="708">
      <c r="A708" s="134" t="n"/>
      <c r="B708" s="116" t="n"/>
      <c r="C708" s="116" t="n"/>
      <c r="D708" s="121" t="n"/>
      <c r="E708" s="120" t="n"/>
      <c r="F708" s="120" t="n"/>
      <c r="G708" s="120" t="n"/>
      <c r="H708" s="120" t="n"/>
      <c r="I708" s="117" t="n"/>
      <c r="J708" s="123" t="str">
        <f>IF(B708="","",IF(F708&lt;&gt;"",N(F708),ROUND(N(D708)*N(E708),2)))</f>
        <v/>
      </c>
      <c r="K708" s="123" t="str">
        <f>IF(B708="","",IF(H708&lt;&gt;"",N(H708),IF(B708="Dividendo",ROUND(J708*IFERROR(INDEX(Calcoli!$V$7:$V$21,MATCH(C708,Calcoli!$A$7:$A$21,0)),0.26),2),IF(B708="Vendita",ROUND(MAX(0,U708)*IFERROR(INDEX(Calcoli!$V$7:$V$21,MATCH(C708,Calcoli!$A$7:$A$21,0)),0.26),2),0))))</f>
        <v/>
      </c>
      <c r="L708" s="135" t="str">
        <f>IF(B708="","",IF(B708="Acquisto",-(J708+N(G708)),J708-N(G708)-K708))</f>
        <v/>
      </c>
      <c r="M708" s="127" t="str">
        <f>IF(B708="","",IF(ISNA(MATCH(C708,ETF!$A$7:$A$21,0)),"ETF?",IF(NOT(ISNUMBER(A708)),"Data?",IF(AND(B708&lt;&gt;"Dividendo",N(D708)&lt;=0),"Quote?",IF(AND(B708="Vendita",N(D708)&gt;N(Q708)+0.000001),"Quote?",IF(J708&lt;=0,"Importo?","✓"))))))</f>
        <v/>
      </c>
      <c r="N708" t="str">
        <f>IF(OR(B708="Acquisto",B708="Vendita"),COUNTIFS($C$5:C708,C708,$B$5:B708,"Acquisto")+COUNTIFS($C$5:C708,C708,$B$5:B708,"Vendita"),"")</f>
        <v/>
      </c>
      <c r="O708" t="str">
        <f>IF(N708="","",C708&amp;"|"&amp;N708)</f>
        <v/>
      </c>
      <c r="P708" t="str">
        <f>IF(N708="","",IF(N708=1,0,MATCH(C708&amp;"|"&amp;(N708-1),$O$5:$O$1004,0)))</f>
        <v/>
      </c>
      <c r="Q708" t="str">
        <f>IF(N708="","",IF(P708=0,SUMIFS(Calcoli!$C$7:$C$21,Calcoli!$A$7:$A$21,C708),INDEX($S$5:$S$1004,P708)))</f>
        <v/>
      </c>
      <c r="R708" t="str">
        <f>IF(N708="","",IF(P708=0,SUMIFS(Calcoli!$D$7:$D$21,Calcoli!$A$7:$A$21,C708),INDEX($T$5:$T$1004,P708)))</f>
        <v/>
      </c>
      <c r="S708" t="str">
        <f>IF(N708="","",IF(B708="Acquisto",Q708+N(D708),MAX(0,Q708-N(D708))))</f>
        <v/>
      </c>
      <c r="T708" t="str">
        <f>IF(N708="","",IF(B708="Acquisto",R708+J708+N(G708),IF(Q708&lt;=0,0,R708*(1-MIN(1,N(D708)/Q708)))))</f>
        <v/>
      </c>
      <c r="U708" t="str">
        <f>IF(B708&lt;&gt;"Vendita","",J708-N(G708)-IF(Q708&lt;=0,0,R708*MIN(1,N(D708)/Q708)))</f>
        <v/>
      </c>
      <c r="V708" t="str">
        <f>IF(B708&lt;&gt;"Dividendo","",IF(Calcoli!$B$251=1,J708,L708))</f>
        <v/>
      </c>
      <c r="W708" t="str">
        <f>IF(AND(V708&lt;&gt;"",ISNUMBER(A708)),A708,"")</f>
        <v/>
      </c>
    </row>
    <row r="709">
      <c r="A709" s="134" t="n"/>
      <c r="B709" s="116" t="n"/>
      <c r="C709" s="116" t="n"/>
      <c r="D709" s="121" t="n"/>
      <c r="E709" s="120" t="n"/>
      <c r="F709" s="120" t="n"/>
      <c r="G709" s="120" t="n"/>
      <c r="H709" s="120" t="n"/>
      <c r="I709" s="117" t="n"/>
      <c r="J709" s="123" t="str">
        <f>IF(B709="","",IF(F709&lt;&gt;"",N(F709),ROUND(N(D709)*N(E709),2)))</f>
        <v/>
      </c>
      <c r="K709" s="123" t="str">
        <f>IF(B709="","",IF(H709&lt;&gt;"",N(H709),IF(B709="Dividendo",ROUND(J709*IFERROR(INDEX(Calcoli!$V$7:$V$21,MATCH(C709,Calcoli!$A$7:$A$21,0)),0.26),2),IF(B709="Vendita",ROUND(MAX(0,U709)*IFERROR(INDEX(Calcoli!$V$7:$V$21,MATCH(C709,Calcoli!$A$7:$A$21,0)),0.26),2),0))))</f>
        <v/>
      </c>
      <c r="L709" s="135" t="str">
        <f>IF(B709="","",IF(B709="Acquisto",-(J709+N(G709)),J709-N(G709)-K709))</f>
        <v/>
      </c>
      <c r="M709" s="127" t="str">
        <f>IF(B709="","",IF(ISNA(MATCH(C709,ETF!$A$7:$A$21,0)),"ETF?",IF(NOT(ISNUMBER(A709)),"Data?",IF(AND(B709&lt;&gt;"Dividendo",N(D709)&lt;=0),"Quote?",IF(AND(B709="Vendita",N(D709)&gt;N(Q709)+0.000001),"Quote?",IF(J709&lt;=0,"Importo?","✓"))))))</f>
        <v/>
      </c>
      <c r="N709" t="str">
        <f>IF(OR(B709="Acquisto",B709="Vendita"),COUNTIFS($C$5:C709,C709,$B$5:B709,"Acquisto")+COUNTIFS($C$5:C709,C709,$B$5:B709,"Vendita"),"")</f>
        <v/>
      </c>
      <c r="O709" t="str">
        <f>IF(N709="","",C709&amp;"|"&amp;N709)</f>
        <v/>
      </c>
      <c r="P709" t="str">
        <f>IF(N709="","",IF(N709=1,0,MATCH(C709&amp;"|"&amp;(N709-1),$O$5:$O$1004,0)))</f>
        <v/>
      </c>
      <c r="Q709" t="str">
        <f>IF(N709="","",IF(P709=0,SUMIFS(Calcoli!$C$7:$C$21,Calcoli!$A$7:$A$21,C709),INDEX($S$5:$S$1004,P709)))</f>
        <v/>
      </c>
      <c r="R709" t="str">
        <f>IF(N709="","",IF(P709=0,SUMIFS(Calcoli!$D$7:$D$21,Calcoli!$A$7:$A$21,C709),INDEX($T$5:$T$1004,P709)))</f>
        <v/>
      </c>
      <c r="S709" t="str">
        <f>IF(N709="","",IF(B709="Acquisto",Q709+N(D709),MAX(0,Q709-N(D709))))</f>
        <v/>
      </c>
      <c r="T709" t="str">
        <f>IF(N709="","",IF(B709="Acquisto",R709+J709+N(G709),IF(Q709&lt;=0,0,R709*(1-MIN(1,N(D709)/Q709)))))</f>
        <v/>
      </c>
      <c r="U709" t="str">
        <f>IF(B709&lt;&gt;"Vendita","",J709-N(G709)-IF(Q709&lt;=0,0,R709*MIN(1,N(D709)/Q709)))</f>
        <v/>
      </c>
      <c r="V709" t="str">
        <f>IF(B709&lt;&gt;"Dividendo","",IF(Calcoli!$B$251=1,J709,L709))</f>
        <v/>
      </c>
      <c r="W709" t="str">
        <f>IF(AND(V709&lt;&gt;"",ISNUMBER(A709)),A709,"")</f>
        <v/>
      </c>
    </row>
    <row r="710">
      <c r="A710" s="134" t="n"/>
      <c r="B710" s="116" t="n"/>
      <c r="C710" s="116" t="n"/>
      <c r="D710" s="121" t="n"/>
      <c r="E710" s="120" t="n"/>
      <c r="F710" s="120" t="n"/>
      <c r="G710" s="120" t="n"/>
      <c r="H710" s="120" t="n"/>
      <c r="I710" s="117" t="n"/>
      <c r="J710" s="123" t="str">
        <f>IF(B710="","",IF(F710&lt;&gt;"",N(F710),ROUND(N(D710)*N(E710),2)))</f>
        <v/>
      </c>
      <c r="K710" s="123" t="str">
        <f>IF(B710="","",IF(H710&lt;&gt;"",N(H710),IF(B710="Dividendo",ROUND(J710*IFERROR(INDEX(Calcoli!$V$7:$V$21,MATCH(C710,Calcoli!$A$7:$A$21,0)),0.26),2),IF(B710="Vendita",ROUND(MAX(0,U710)*IFERROR(INDEX(Calcoli!$V$7:$V$21,MATCH(C710,Calcoli!$A$7:$A$21,0)),0.26),2),0))))</f>
        <v/>
      </c>
      <c r="L710" s="135" t="str">
        <f>IF(B710="","",IF(B710="Acquisto",-(J710+N(G710)),J710-N(G710)-K710))</f>
        <v/>
      </c>
      <c r="M710" s="127" t="str">
        <f>IF(B710="","",IF(ISNA(MATCH(C710,ETF!$A$7:$A$21,0)),"ETF?",IF(NOT(ISNUMBER(A710)),"Data?",IF(AND(B710&lt;&gt;"Dividendo",N(D710)&lt;=0),"Quote?",IF(AND(B710="Vendita",N(D710)&gt;N(Q710)+0.000001),"Quote?",IF(J710&lt;=0,"Importo?","✓"))))))</f>
        <v/>
      </c>
      <c r="N710" t="str">
        <f>IF(OR(B710="Acquisto",B710="Vendita"),COUNTIFS($C$5:C710,C710,$B$5:B710,"Acquisto")+COUNTIFS($C$5:C710,C710,$B$5:B710,"Vendita"),"")</f>
        <v/>
      </c>
      <c r="O710" t="str">
        <f>IF(N710="","",C710&amp;"|"&amp;N710)</f>
        <v/>
      </c>
      <c r="P710" t="str">
        <f>IF(N710="","",IF(N710=1,0,MATCH(C710&amp;"|"&amp;(N710-1),$O$5:$O$1004,0)))</f>
        <v/>
      </c>
      <c r="Q710" t="str">
        <f>IF(N710="","",IF(P710=0,SUMIFS(Calcoli!$C$7:$C$21,Calcoli!$A$7:$A$21,C710),INDEX($S$5:$S$1004,P710)))</f>
        <v/>
      </c>
      <c r="R710" t="str">
        <f>IF(N710="","",IF(P710=0,SUMIFS(Calcoli!$D$7:$D$21,Calcoli!$A$7:$A$21,C710),INDEX($T$5:$T$1004,P710)))</f>
        <v/>
      </c>
      <c r="S710" t="str">
        <f>IF(N710="","",IF(B710="Acquisto",Q710+N(D710),MAX(0,Q710-N(D710))))</f>
        <v/>
      </c>
      <c r="T710" t="str">
        <f>IF(N710="","",IF(B710="Acquisto",R710+J710+N(G710),IF(Q710&lt;=0,0,R710*(1-MIN(1,N(D710)/Q710)))))</f>
        <v/>
      </c>
      <c r="U710" t="str">
        <f>IF(B710&lt;&gt;"Vendita","",J710-N(G710)-IF(Q710&lt;=0,0,R710*MIN(1,N(D710)/Q710)))</f>
        <v/>
      </c>
      <c r="V710" t="str">
        <f>IF(B710&lt;&gt;"Dividendo","",IF(Calcoli!$B$251=1,J710,L710))</f>
        <v/>
      </c>
      <c r="W710" t="str">
        <f>IF(AND(V710&lt;&gt;"",ISNUMBER(A710)),A710,"")</f>
        <v/>
      </c>
    </row>
    <row r="711">
      <c r="A711" s="134" t="n"/>
      <c r="B711" s="116" t="n"/>
      <c r="C711" s="116" t="n"/>
      <c r="D711" s="121" t="n"/>
      <c r="E711" s="120" t="n"/>
      <c r="F711" s="120" t="n"/>
      <c r="G711" s="120" t="n"/>
      <c r="H711" s="120" t="n"/>
      <c r="I711" s="117" t="n"/>
      <c r="J711" s="123" t="str">
        <f>IF(B711="","",IF(F711&lt;&gt;"",N(F711),ROUND(N(D711)*N(E711),2)))</f>
        <v/>
      </c>
      <c r="K711" s="123" t="str">
        <f>IF(B711="","",IF(H711&lt;&gt;"",N(H711),IF(B711="Dividendo",ROUND(J711*IFERROR(INDEX(Calcoli!$V$7:$V$21,MATCH(C711,Calcoli!$A$7:$A$21,0)),0.26),2),IF(B711="Vendita",ROUND(MAX(0,U711)*IFERROR(INDEX(Calcoli!$V$7:$V$21,MATCH(C711,Calcoli!$A$7:$A$21,0)),0.26),2),0))))</f>
        <v/>
      </c>
      <c r="L711" s="135" t="str">
        <f>IF(B711="","",IF(B711="Acquisto",-(J711+N(G711)),J711-N(G711)-K711))</f>
        <v/>
      </c>
      <c r="M711" s="127" t="str">
        <f>IF(B711="","",IF(ISNA(MATCH(C711,ETF!$A$7:$A$21,0)),"ETF?",IF(NOT(ISNUMBER(A711)),"Data?",IF(AND(B711&lt;&gt;"Dividendo",N(D711)&lt;=0),"Quote?",IF(AND(B711="Vendita",N(D711)&gt;N(Q711)+0.000001),"Quote?",IF(J711&lt;=0,"Importo?","✓"))))))</f>
        <v/>
      </c>
      <c r="N711" t="str">
        <f>IF(OR(B711="Acquisto",B711="Vendita"),COUNTIFS($C$5:C711,C711,$B$5:B711,"Acquisto")+COUNTIFS($C$5:C711,C711,$B$5:B711,"Vendita"),"")</f>
        <v/>
      </c>
      <c r="O711" t="str">
        <f>IF(N711="","",C711&amp;"|"&amp;N711)</f>
        <v/>
      </c>
      <c r="P711" t="str">
        <f>IF(N711="","",IF(N711=1,0,MATCH(C711&amp;"|"&amp;(N711-1),$O$5:$O$1004,0)))</f>
        <v/>
      </c>
      <c r="Q711" t="str">
        <f>IF(N711="","",IF(P711=0,SUMIFS(Calcoli!$C$7:$C$21,Calcoli!$A$7:$A$21,C711),INDEX($S$5:$S$1004,P711)))</f>
        <v/>
      </c>
      <c r="R711" t="str">
        <f>IF(N711="","",IF(P711=0,SUMIFS(Calcoli!$D$7:$D$21,Calcoli!$A$7:$A$21,C711),INDEX($T$5:$T$1004,P711)))</f>
        <v/>
      </c>
      <c r="S711" t="str">
        <f>IF(N711="","",IF(B711="Acquisto",Q711+N(D711),MAX(0,Q711-N(D711))))</f>
        <v/>
      </c>
      <c r="T711" t="str">
        <f>IF(N711="","",IF(B711="Acquisto",R711+J711+N(G711),IF(Q711&lt;=0,0,R711*(1-MIN(1,N(D711)/Q711)))))</f>
        <v/>
      </c>
      <c r="U711" t="str">
        <f>IF(B711&lt;&gt;"Vendita","",J711-N(G711)-IF(Q711&lt;=0,0,R711*MIN(1,N(D711)/Q711)))</f>
        <v/>
      </c>
      <c r="V711" t="str">
        <f>IF(B711&lt;&gt;"Dividendo","",IF(Calcoli!$B$251=1,J711,L711))</f>
        <v/>
      </c>
      <c r="W711" t="str">
        <f>IF(AND(V711&lt;&gt;"",ISNUMBER(A711)),A711,"")</f>
        <v/>
      </c>
    </row>
    <row r="712">
      <c r="A712" s="134" t="n"/>
      <c r="B712" s="116" t="n"/>
      <c r="C712" s="116" t="n"/>
      <c r="D712" s="121" t="n"/>
      <c r="E712" s="120" t="n"/>
      <c r="F712" s="120" t="n"/>
      <c r="G712" s="120" t="n"/>
      <c r="H712" s="120" t="n"/>
      <c r="I712" s="117" t="n"/>
      <c r="J712" s="123" t="str">
        <f>IF(B712="","",IF(F712&lt;&gt;"",N(F712),ROUND(N(D712)*N(E712),2)))</f>
        <v/>
      </c>
      <c r="K712" s="123" t="str">
        <f>IF(B712="","",IF(H712&lt;&gt;"",N(H712),IF(B712="Dividendo",ROUND(J712*IFERROR(INDEX(Calcoli!$V$7:$V$21,MATCH(C712,Calcoli!$A$7:$A$21,0)),0.26),2),IF(B712="Vendita",ROUND(MAX(0,U712)*IFERROR(INDEX(Calcoli!$V$7:$V$21,MATCH(C712,Calcoli!$A$7:$A$21,0)),0.26),2),0))))</f>
        <v/>
      </c>
      <c r="L712" s="135" t="str">
        <f>IF(B712="","",IF(B712="Acquisto",-(J712+N(G712)),J712-N(G712)-K712))</f>
        <v/>
      </c>
      <c r="M712" s="127" t="str">
        <f>IF(B712="","",IF(ISNA(MATCH(C712,ETF!$A$7:$A$21,0)),"ETF?",IF(NOT(ISNUMBER(A712)),"Data?",IF(AND(B712&lt;&gt;"Dividendo",N(D712)&lt;=0),"Quote?",IF(AND(B712="Vendita",N(D712)&gt;N(Q712)+0.000001),"Quote?",IF(J712&lt;=0,"Importo?","✓"))))))</f>
        <v/>
      </c>
      <c r="N712" t="str">
        <f>IF(OR(B712="Acquisto",B712="Vendita"),COUNTIFS($C$5:C712,C712,$B$5:B712,"Acquisto")+COUNTIFS($C$5:C712,C712,$B$5:B712,"Vendita"),"")</f>
        <v/>
      </c>
      <c r="O712" t="str">
        <f>IF(N712="","",C712&amp;"|"&amp;N712)</f>
        <v/>
      </c>
      <c r="P712" t="str">
        <f>IF(N712="","",IF(N712=1,0,MATCH(C712&amp;"|"&amp;(N712-1),$O$5:$O$1004,0)))</f>
        <v/>
      </c>
      <c r="Q712" t="str">
        <f>IF(N712="","",IF(P712=0,SUMIFS(Calcoli!$C$7:$C$21,Calcoli!$A$7:$A$21,C712),INDEX($S$5:$S$1004,P712)))</f>
        <v/>
      </c>
      <c r="R712" t="str">
        <f>IF(N712="","",IF(P712=0,SUMIFS(Calcoli!$D$7:$D$21,Calcoli!$A$7:$A$21,C712),INDEX($T$5:$T$1004,P712)))</f>
        <v/>
      </c>
      <c r="S712" t="str">
        <f>IF(N712="","",IF(B712="Acquisto",Q712+N(D712),MAX(0,Q712-N(D712))))</f>
        <v/>
      </c>
      <c r="T712" t="str">
        <f>IF(N712="","",IF(B712="Acquisto",R712+J712+N(G712),IF(Q712&lt;=0,0,R712*(1-MIN(1,N(D712)/Q712)))))</f>
        <v/>
      </c>
      <c r="U712" t="str">
        <f>IF(B712&lt;&gt;"Vendita","",J712-N(G712)-IF(Q712&lt;=0,0,R712*MIN(1,N(D712)/Q712)))</f>
        <v/>
      </c>
      <c r="V712" t="str">
        <f>IF(B712&lt;&gt;"Dividendo","",IF(Calcoli!$B$251=1,J712,L712))</f>
        <v/>
      </c>
      <c r="W712" t="str">
        <f>IF(AND(V712&lt;&gt;"",ISNUMBER(A712)),A712,"")</f>
        <v/>
      </c>
    </row>
    <row r="713">
      <c r="A713" s="134" t="n"/>
      <c r="B713" s="116" t="n"/>
      <c r="C713" s="116" t="n"/>
      <c r="D713" s="121" t="n"/>
      <c r="E713" s="120" t="n"/>
      <c r="F713" s="120" t="n"/>
      <c r="G713" s="120" t="n"/>
      <c r="H713" s="120" t="n"/>
      <c r="I713" s="117" t="n"/>
      <c r="J713" s="123" t="str">
        <f>IF(B713="","",IF(F713&lt;&gt;"",N(F713),ROUND(N(D713)*N(E713),2)))</f>
        <v/>
      </c>
      <c r="K713" s="123" t="str">
        <f>IF(B713="","",IF(H713&lt;&gt;"",N(H713),IF(B713="Dividendo",ROUND(J713*IFERROR(INDEX(Calcoli!$V$7:$V$21,MATCH(C713,Calcoli!$A$7:$A$21,0)),0.26),2),IF(B713="Vendita",ROUND(MAX(0,U713)*IFERROR(INDEX(Calcoli!$V$7:$V$21,MATCH(C713,Calcoli!$A$7:$A$21,0)),0.26),2),0))))</f>
        <v/>
      </c>
      <c r="L713" s="135" t="str">
        <f>IF(B713="","",IF(B713="Acquisto",-(J713+N(G713)),J713-N(G713)-K713))</f>
        <v/>
      </c>
      <c r="M713" s="127" t="str">
        <f>IF(B713="","",IF(ISNA(MATCH(C713,ETF!$A$7:$A$21,0)),"ETF?",IF(NOT(ISNUMBER(A713)),"Data?",IF(AND(B713&lt;&gt;"Dividendo",N(D713)&lt;=0),"Quote?",IF(AND(B713="Vendita",N(D713)&gt;N(Q713)+0.000001),"Quote?",IF(J713&lt;=0,"Importo?","✓"))))))</f>
        <v/>
      </c>
      <c r="N713" t="str">
        <f>IF(OR(B713="Acquisto",B713="Vendita"),COUNTIFS($C$5:C713,C713,$B$5:B713,"Acquisto")+COUNTIFS($C$5:C713,C713,$B$5:B713,"Vendita"),"")</f>
        <v/>
      </c>
      <c r="O713" t="str">
        <f>IF(N713="","",C713&amp;"|"&amp;N713)</f>
        <v/>
      </c>
      <c r="P713" t="str">
        <f>IF(N713="","",IF(N713=1,0,MATCH(C713&amp;"|"&amp;(N713-1),$O$5:$O$1004,0)))</f>
        <v/>
      </c>
      <c r="Q713" t="str">
        <f>IF(N713="","",IF(P713=0,SUMIFS(Calcoli!$C$7:$C$21,Calcoli!$A$7:$A$21,C713),INDEX($S$5:$S$1004,P713)))</f>
        <v/>
      </c>
      <c r="R713" t="str">
        <f>IF(N713="","",IF(P713=0,SUMIFS(Calcoli!$D$7:$D$21,Calcoli!$A$7:$A$21,C713),INDEX($T$5:$T$1004,P713)))</f>
        <v/>
      </c>
      <c r="S713" t="str">
        <f>IF(N713="","",IF(B713="Acquisto",Q713+N(D713),MAX(0,Q713-N(D713))))</f>
        <v/>
      </c>
      <c r="T713" t="str">
        <f>IF(N713="","",IF(B713="Acquisto",R713+J713+N(G713),IF(Q713&lt;=0,0,R713*(1-MIN(1,N(D713)/Q713)))))</f>
        <v/>
      </c>
      <c r="U713" t="str">
        <f>IF(B713&lt;&gt;"Vendita","",J713-N(G713)-IF(Q713&lt;=0,0,R713*MIN(1,N(D713)/Q713)))</f>
        <v/>
      </c>
      <c r="V713" t="str">
        <f>IF(B713&lt;&gt;"Dividendo","",IF(Calcoli!$B$251=1,J713,L713))</f>
        <v/>
      </c>
      <c r="W713" t="str">
        <f>IF(AND(V713&lt;&gt;"",ISNUMBER(A713)),A713,"")</f>
        <v/>
      </c>
    </row>
    <row r="714">
      <c r="A714" s="134" t="n"/>
      <c r="B714" s="116" t="n"/>
      <c r="C714" s="116" t="n"/>
      <c r="D714" s="121" t="n"/>
      <c r="E714" s="120" t="n"/>
      <c r="F714" s="120" t="n"/>
      <c r="G714" s="120" t="n"/>
      <c r="H714" s="120" t="n"/>
      <c r="I714" s="117" t="n"/>
      <c r="J714" s="123" t="str">
        <f>IF(B714="","",IF(F714&lt;&gt;"",N(F714),ROUND(N(D714)*N(E714),2)))</f>
        <v/>
      </c>
      <c r="K714" s="123" t="str">
        <f>IF(B714="","",IF(H714&lt;&gt;"",N(H714),IF(B714="Dividendo",ROUND(J714*IFERROR(INDEX(Calcoli!$V$7:$V$21,MATCH(C714,Calcoli!$A$7:$A$21,0)),0.26),2),IF(B714="Vendita",ROUND(MAX(0,U714)*IFERROR(INDEX(Calcoli!$V$7:$V$21,MATCH(C714,Calcoli!$A$7:$A$21,0)),0.26),2),0))))</f>
        <v/>
      </c>
      <c r="L714" s="135" t="str">
        <f>IF(B714="","",IF(B714="Acquisto",-(J714+N(G714)),J714-N(G714)-K714))</f>
        <v/>
      </c>
      <c r="M714" s="127" t="str">
        <f>IF(B714="","",IF(ISNA(MATCH(C714,ETF!$A$7:$A$21,0)),"ETF?",IF(NOT(ISNUMBER(A714)),"Data?",IF(AND(B714&lt;&gt;"Dividendo",N(D714)&lt;=0),"Quote?",IF(AND(B714="Vendita",N(D714)&gt;N(Q714)+0.000001),"Quote?",IF(J714&lt;=0,"Importo?","✓"))))))</f>
        <v/>
      </c>
      <c r="N714" t="str">
        <f>IF(OR(B714="Acquisto",B714="Vendita"),COUNTIFS($C$5:C714,C714,$B$5:B714,"Acquisto")+COUNTIFS($C$5:C714,C714,$B$5:B714,"Vendita"),"")</f>
        <v/>
      </c>
      <c r="O714" t="str">
        <f>IF(N714="","",C714&amp;"|"&amp;N714)</f>
        <v/>
      </c>
      <c r="P714" t="str">
        <f>IF(N714="","",IF(N714=1,0,MATCH(C714&amp;"|"&amp;(N714-1),$O$5:$O$1004,0)))</f>
        <v/>
      </c>
      <c r="Q714" t="str">
        <f>IF(N714="","",IF(P714=0,SUMIFS(Calcoli!$C$7:$C$21,Calcoli!$A$7:$A$21,C714),INDEX($S$5:$S$1004,P714)))</f>
        <v/>
      </c>
      <c r="R714" t="str">
        <f>IF(N714="","",IF(P714=0,SUMIFS(Calcoli!$D$7:$D$21,Calcoli!$A$7:$A$21,C714),INDEX($T$5:$T$1004,P714)))</f>
        <v/>
      </c>
      <c r="S714" t="str">
        <f>IF(N714="","",IF(B714="Acquisto",Q714+N(D714),MAX(0,Q714-N(D714))))</f>
        <v/>
      </c>
      <c r="T714" t="str">
        <f>IF(N714="","",IF(B714="Acquisto",R714+J714+N(G714),IF(Q714&lt;=0,0,R714*(1-MIN(1,N(D714)/Q714)))))</f>
        <v/>
      </c>
      <c r="U714" t="str">
        <f>IF(B714&lt;&gt;"Vendita","",J714-N(G714)-IF(Q714&lt;=0,0,R714*MIN(1,N(D714)/Q714)))</f>
        <v/>
      </c>
      <c r="V714" t="str">
        <f>IF(B714&lt;&gt;"Dividendo","",IF(Calcoli!$B$251=1,J714,L714))</f>
        <v/>
      </c>
      <c r="W714" t="str">
        <f>IF(AND(V714&lt;&gt;"",ISNUMBER(A714)),A714,"")</f>
        <v/>
      </c>
    </row>
    <row r="715">
      <c r="A715" s="134" t="n"/>
      <c r="B715" s="116" t="n"/>
      <c r="C715" s="116" t="n"/>
      <c r="D715" s="121" t="n"/>
      <c r="E715" s="120" t="n"/>
      <c r="F715" s="120" t="n"/>
      <c r="G715" s="120" t="n"/>
      <c r="H715" s="120" t="n"/>
      <c r="I715" s="117" t="n"/>
      <c r="J715" s="123" t="str">
        <f>IF(B715="","",IF(F715&lt;&gt;"",N(F715),ROUND(N(D715)*N(E715),2)))</f>
        <v/>
      </c>
      <c r="K715" s="123" t="str">
        <f>IF(B715="","",IF(H715&lt;&gt;"",N(H715),IF(B715="Dividendo",ROUND(J715*IFERROR(INDEX(Calcoli!$V$7:$V$21,MATCH(C715,Calcoli!$A$7:$A$21,0)),0.26),2),IF(B715="Vendita",ROUND(MAX(0,U715)*IFERROR(INDEX(Calcoli!$V$7:$V$21,MATCH(C715,Calcoli!$A$7:$A$21,0)),0.26),2),0))))</f>
        <v/>
      </c>
      <c r="L715" s="135" t="str">
        <f>IF(B715="","",IF(B715="Acquisto",-(J715+N(G715)),J715-N(G715)-K715))</f>
        <v/>
      </c>
      <c r="M715" s="127" t="str">
        <f>IF(B715="","",IF(ISNA(MATCH(C715,ETF!$A$7:$A$21,0)),"ETF?",IF(NOT(ISNUMBER(A715)),"Data?",IF(AND(B715&lt;&gt;"Dividendo",N(D715)&lt;=0),"Quote?",IF(AND(B715="Vendita",N(D715)&gt;N(Q715)+0.000001),"Quote?",IF(J715&lt;=0,"Importo?","✓"))))))</f>
        <v/>
      </c>
      <c r="N715" t="str">
        <f>IF(OR(B715="Acquisto",B715="Vendita"),COUNTIFS($C$5:C715,C715,$B$5:B715,"Acquisto")+COUNTIFS($C$5:C715,C715,$B$5:B715,"Vendita"),"")</f>
        <v/>
      </c>
      <c r="O715" t="str">
        <f>IF(N715="","",C715&amp;"|"&amp;N715)</f>
        <v/>
      </c>
      <c r="P715" t="str">
        <f>IF(N715="","",IF(N715=1,0,MATCH(C715&amp;"|"&amp;(N715-1),$O$5:$O$1004,0)))</f>
        <v/>
      </c>
      <c r="Q715" t="str">
        <f>IF(N715="","",IF(P715=0,SUMIFS(Calcoli!$C$7:$C$21,Calcoli!$A$7:$A$21,C715),INDEX($S$5:$S$1004,P715)))</f>
        <v/>
      </c>
      <c r="R715" t="str">
        <f>IF(N715="","",IF(P715=0,SUMIFS(Calcoli!$D$7:$D$21,Calcoli!$A$7:$A$21,C715),INDEX($T$5:$T$1004,P715)))</f>
        <v/>
      </c>
      <c r="S715" t="str">
        <f>IF(N715="","",IF(B715="Acquisto",Q715+N(D715),MAX(0,Q715-N(D715))))</f>
        <v/>
      </c>
      <c r="T715" t="str">
        <f>IF(N715="","",IF(B715="Acquisto",R715+J715+N(G715),IF(Q715&lt;=0,0,R715*(1-MIN(1,N(D715)/Q715)))))</f>
        <v/>
      </c>
      <c r="U715" t="str">
        <f>IF(B715&lt;&gt;"Vendita","",J715-N(G715)-IF(Q715&lt;=0,0,R715*MIN(1,N(D715)/Q715)))</f>
        <v/>
      </c>
      <c r="V715" t="str">
        <f>IF(B715&lt;&gt;"Dividendo","",IF(Calcoli!$B$251=1,J715,L715))</f>
        <v/>
      </c>
      <c r="W715" t="str">
        <f>IF(AND(V715&lt;&gt;"",ISNUMBER(A715)),A715,"")</f>
        <v/>
      </c>
    </row>
    <row r="716">
      <c r="A716" s="134" t="n"/>
      <c r="B716" s="116" t="n"/>
      <c r="C716" s="116" t="n"/>
      <c r="D716" s="121" t="n"/>
      <c r="E716" s="120" t="n"/>
      <c r="F716" s="120" t="n"/>
      <c r="G716" s="120" t="n"/>
      <c r="H716" s="120" t="n"/>
      <c r="I716" s="117" t="n"/>
      <c r="J716" s="123" t="str">
        <f>IF(B716="","",IF(F716&lt;&gt;"",N(F716),ROUND(N(D716)*N(E716),2)))</f>
        <v/>
      </c>
      <c r="K716" s="123" t="str">
        <f>IF(B716="","",IF(H716&lt;&gt;"",N(H716),IF(B716="Dividendo",ROUND(J716*IFERROR(INDEX(Calcoli!$V$7:$V$21,MATCH(C716,Calcoli!$A$7:$A$21,0)),0.26),2),IF(B716="Vendita",ROUND(MAX(0,U716)*IFERROR(INDEX(Calcoli!$V$7:$V$21,MATCH(C716,Calcoli!$A$7:$A$21,0)),0.26),2),0))))</f>
        <v/>
      </c>
      <c r="L716" s="135" t="str">
        <f>IF(B716="","",IF(B716="Acquisto",-(J716+N(G716)),J716-N(G716)-K716))</f>
        <v/>
      </c>
      <c r="M716" s="127" t="str">
        <f>IF(B716="","",IF(ISNA(MATCH(C716,ETF!$A$7:$A$21,0)),"ETF?",IF(NOT(ISNUMBER(A716)),"Data?",IF(AND(B716&lt;&gt;"Dividendo",N(D716)&lt;=0),"Quote?",IF(AND(B716="Vendita",N(D716)&gt;N(Q716)+0.000001),"Quote?",IF(J716&lt;=0,"Importo?","✓"))))))</f>
        <v/>
      </c>
      <c r="N716" t="str">
        <f>IF(OR(B716="Acquisto",B716="Vendita"),COUNTIFS($C$5:C716,C716,$B$5:B716,"Acquisto")+COUNTIFS($C$5:C716,C716,$B$5:B716,"Vendita"),"")</f>
        <v/>
      </c>
      <c r="O716" t="str">
        <f>IF(N716="","",C716&amp;"|"&amp;N716)</f>
        <v/>
      </c>
      <c r="P716" t="str">
        <f>IF(N716="","",IF(N716=1,0,MATCH(C716&amp;"|"&amp;(N716-1),$O$5:$O$1004,0)))</f>
        <v/>
      </c>
      <c r="Q716" t="str">
        <f>IF(N716="","",IF(P716=0,SUMIFS(Calcoli!$C$7:$C$21,Calcoli!$A$7:$A$21,C716),INDEX($S$5:$S$1004,P716)))</f>
        <v/>
      </c>
      <c r="R716" t="str">
        <f>IF(N716="","",IF(P716=0,SUMIFS(Calcoli!$D$7:$D$21,Calcoli!$A$7:$A$21,C716),INDEX($T$5:$T$1004,P716)))</f>
        <v/>
      </c>
      <c r="S716" t="str">
        <f>IF(N716="","",IF(B716="Acquisto",Q716+N(D716),MAX(0,Q716-N(D716))))</f>
        <v/>
      </c>
      <c r="T716" t="str">
        <f>IF(N716="","",IF(B716="Acquisto",R716+J716+N(G716),IF(Q716&lt;=0,0,R716*(1-MIN(1,N(D716)/Q716)))))</f>
        <v/>
      </c>
      <c r="U716" t="str">
        <f>IF(B716&lt;&gt;"Vendita","",J716-N(G716)-IF(Q716&lt;=0,0,R716*MIN(1,N(D716)/Q716)))</f>
        <v/>
      </c>
      <c r="V716" t="str">
        <f>IF(B716&lt;&gt;"Dividendo","",IF(Calcoli!$B$251=1,J716,L716))</f>
        <v/>
      </c>
      <c r="W716" t="str">
        <f>IF(AND(V716&lt;&gt;"",ISNUMBER(A716)),A716,"")</f>
        <v/>
      </c>
    </row>
    <row r="717">
      <c r="A717" s="134" t="n"/>
      <c r="B717" s="116" t="n"/>
      <c r="C717" s="116" t="n"/>
      <c r="D717" s="121" t="n"/>
      <c r="E717" s="120" t="n"/>
      <c r="F717" s="120" t="n"/>
      <c r="G717" s="120" t="n"/>
      <c r="H717" s="120" t="n"/>
      <c r="I717" s="117" t="n"/>
      <c r="J717" s="123" t="str">
        <f>IF(B717="","",IF(F717&lt;&gt;"",N(F717),ROUND(N(D717)*N(E717),2)))</f>
        <v/>
      </c>
      <c r="K717" s="123" t="str">
        <f>IF(B717="","",IF(H717&lt;&gt;"",N(H717),IF(B717="Dividendo",ROUND(J717*IFERROR(INDEX(Calcoli!$V$7:$V$21,MATCH(C717,Calcoli!$A$7:$A$21,0)),0.26),2),IF(B717="Vendita",ROUND(MAX(0,U717)*IFERROR(INDEX(Calcoli!$V$7:$V$21,MATCH(C717,Calcoli!$A$7:$A$21,0)),0.26),2),0))))</f>
        <v/>
      </c>
      <c r="L717" s="135" t="str">
        <f>IF(B717="","",IF(B717="Acquisto",-(J717+N(G717)),J717-N(G717)-K717))</f>
        <v/>
      </c>
      <c r="M717" s="127" t="str">
        <f>IF(B717="","",IF(ISNA(MATCH(C717,ETF!$A$7:$A$21,0)),"ETF?",IF(NOT(ISNUMBER(A717)),"Data?",IF(AND(B717&lt;&gt;"Dividendo",N(D717)&lt;=0),"Quote?",IF(AND(B717="Vendita",N(D717)&gt;N(Q717)+0.000001),"Quote?",IF(J717&lt;=0,"Importo?","✓"))))))</f>
        <v/>
      </c>
      <c r="N717" t="str">
        <f>IF(OR(B717="Acquisto",B717="Vendita"),COUNTIFS($C$5:C717,C717,$B$5:B717,"Acquisto")+COUNTIFS($C$5:C717,C717,$B$5:B717,"Vendita"),"")</f>
        <v/>
      </c>
      <c r="O717" t="str">
        <f>IF(N717="","",C717&amp;"|"&amp;N717)</f>
        <v/>
      </c>
      <c r="P717" t="str">
        <f>IF(N717="","",IF(N717=1,0,MATCH(C717&amp;"|"&amp;(N717-1),$O$5:$O$1004,0)))</f>
        <v/>
      </c>
      <c r="Q717" t="str">
        <f>IF(N717="","",IF(P717=0,SUMIFS(Calcoli!$C$7:$C$21,Calcoli!$A$7:$A$21,C717),INDEX($S$5:$S$1004,P717)))</f>
        <v/>
      </c>
      <c r="R717" t="str">
        <f>IF(N717="","",IF(P717=0,SUMIFS(Calcoli!$D$7:$D$21,Calcoli!$A$7:$A$21,C717),INDEX($T$5:$T$1004,P717)))</f>
        <v/>
      </c>
      <c r="S717" t="str">
        <f>IF(N717="","",IF(B717="Acquisto",Q717+N(D717),MAX(0,Q717-N(D717))))</f>
        <v/>
      </c>
      <c r="T717" t="str">
        <f>IF(N717="","",IF(B717="Acquisto",R717+J717+N(G717),IF(Q717&lt;=0,0,R717*(1-MIN(1,N(D717)/Q717)))))</f>
        <v/>
      </c>
      <c r="U717" t="str">
        <f>IF(B717&lt;&gt;"Vendita","",J717-N(G717)-IF(Q717&lt;=0,0,R717*MIN(1,N(D717)/Q717)))</f>
        <v/>
      </c>
      <c r="V717" t="str">
        <f>IF(B717&lt;&gt;"Dividendo","",IF(Calcoli!$B$251=1,J717,L717))</f>
        <v/>
      </c>
      <c r="W717" t="str">
        <f>IF(AND(V717&lt;&gt;"",ISNUMBER(A717)),A717,"")</f>
        <v/>
      </c>
    </row>
    <row r="718">
      <c r="A718" s="134" t="n"/>
      <c r="B718" s="116" t="n"/>
      <c r="C718" s="116" t="n"/>
      <c r="D718" s="121" t="n"/>
      <c r="E718" s="120" t="n"/>
      <c r="F718" s="120" t="n"/>
      <c r="G718" s="120" t="n"/>
      <c r="H718" s="120" t="n"/>
      <c r="I718" s="117" t="n"/>
      <c r="J718" s="123" t="str">
        <f>IF(B718="","",IF(F718&lt;&gt;"",N(F718),ROUND(N(D718)*N(E718),2)))</f>
        <v/>
      </c>
      <c r="K718" s="123" t="str">
        <f>IF(B718="","",IF(H718&lt;&gt;"",N(H718),IF(B718="Dividendo",ROUND(J718*IFERROR(INDEX(Calcoli!$V$7:$V$21,MATCH(C718,Calcoli!$A$7:$A$21,0)),0.26),2),IF(B718="Vendita",ROUND(MAX(0,U718)*IFERROR(INDEX(Calcoli!$V$7:$V$21,MATCH(C718,Calcoli!$A$7:$A$21,0)),0.26),2),0))))</f>
        <v/>
      </c>
      <c r="L718" s="135" t="str">
        <f>IF(B718="","",IF(B718="Acquisto",-(J718+N(G718)),J718-N(G718)-K718))</f>
        <v/>
      </c>
      <c r="M718" s="127" t="str">
        <f>IF(B718="","",IF(ISNA(MATCH(C718,ETF!$A$7:$A$21,0)),"ETF?",IF(NOT(ISNUMBER(A718)),"Data?",IF(AND(B718&lt;&gt;"Dividendo",N(D718)&lt;=0),"Quote?",IF(AND(B718="Vendita",N(D718)&gt;N(Q718)+0.000001),"Quote?",IF(J718&lt;=0,"Importo?","✓"))))))</f>
        <v/>
      </c>
      <c r="N718" t="str">
        <f>IF(OR(B718="Acquisto",B718="Vendita"),COUNTIFS($C$5:C718,C718,$B$5:B718,"Acquisto")+COUNTIFS($C$5:C718,C718,$B$5:B718,"Vendita"),"")</f>
        <v/>
      </c>
      <c r="O718" t="str">
        <f>IF(N718="","",C718&amp;"|"&amp;N718)</f>
        <v/>
      </c>
      <c r="P718" t="str">
        <f>IF(N718="","",IF(N718=1,0,MATCH(C718&amp;"|"&amp;(N718-1),$O$5:$O$1004,0)))</f>
        <v/>
      </c>
      <c r="Q718" t="str">
        <f>IF(N718="","",IF(P718=0,SUMIFS(Calcoli!$C$7:$C$21,Calcoli!$A$7:$A$21,C718),INDEX($S$5:$S$1004,P718)))</f>
        <v/>
      </c>
      <c r="R718" t="str">
        <f>IF(N718="","",IF(P718=0,SUMIFS(Calcoli!$D$7:$D$21,Calcoli!$A$7:$A$21,C718),INDEX($T$5:$T$1004,P718)))</f>
        <v/>
      </c>
      <c r="S718" t="str">
        <f>IF(N718="","",IF(B718="Acquisto",Q718+N(D718),MAX(0,Q718-N(D718))))</f>
        <v/>
      </c>
      <c r="T718" t="str">
        <f>IF(N718="","",IF(B718="Acquisto",R718+J718+N(G718),IF(Q718&lt;=0,0,R718*(1-MIN(1,N(D718)/Q718)))))</f>
        <v/>
      </c>
      <c r="U718" t="str">
        <f>IF(B718&lt;&gt;"Vendita","",J718-N(G718)-IF(Q718&lt;=0,0,R718*MIN(1,N(D718)/Q718)))</f>
        <v/>
      </c>
      <c r="V718" t="str">
        <f>IF(B718&lt;&gt;"Dividendo","",IF(Calcoli!$B$251=1,J718,L718))</f>
        <v/>
      </c>
      <c r="W718" t="str">
        <f>IF(AND(V718&lt;&gt;"",ISNUMBER(A718)),A718,"")</f>
        <v/>
      </c>
    </row>
    <row r="719">
      <c r="A719" s="134" t="n"/>
      <c r="B719" s="116" t="n"/>
      <c r="C719" s="116" t="n"/>
      <c r="D719" s="121" t="n"/>
      <c r="E719" s="120" t="n"/>
      <c r="F719" s="120" t="n"/>
      <c r="G719" s="120" t="n"/>
      <c r="H719" s="120" t="n"/>
      <c r="I719" s="117" t="n"/>
      <c r="J719" s="123" t="str">
        <f>IF(B719="","",IF(F719&lt;&gt;"",N(F719),ROUND(N(D719)*N(E719),2)))</f>
        <v/>
      </c>
      <c r="K719" s="123" t="str">
        <f>IF(B719="","",IF(H719&lt;&gt;"",N(H719),IF(B719="Dividendo",ROUND(J719*IFERROR(INDEX(Calcoli!$V$7:$V$21,MATCH(C719,Calcoli!$A$7:$A$21,0)),0.26),2),IF(B719="Vendita",ROUND(MAX(0,U719)*IFERROR(INDEX(Calcoli!$V$7:$V$21,MATCH(C719,Calcoli!$A$7:$A$21,0)),0.26),2),0))))</f>
        <v/>
      </c>
      <c r="L719" s="135" t="str">
        <f>IF(B719="","",IF(B719="Acquisto",-(J719+N(G719)),J719-N(G719)-K719))</f>
        <v/>
      </c>
      <c r="M719" s="127" t="str">
        <f>IF(B719="","",IF(ISNA(MATCH(C719,ETF!$A$7:$A$21,0)),"ETF?",IF(NOT(ISNUMBER(A719)),"Data?",IF(AND(B719&lt;&gt;"Dividendo",N(D719)&lt;=0),"Quote?",IF(AND(B719="Vendita",N(D719)&gt;N(Q719)+0.000001),"Quote?",IF(J719&lt;=0,"Importo?","✓"))))))</f>
        <v/>
      </c>
      <c r="N719" t="str">
        <f>IF(OR(B719="Acquisto",B719="Vendita"),COUNTIFS($C$5:C719,C719,$B$5:B719,"Acquisto")+COUNTIFS($C$5:C719,C719,$B$5:B719,"Vendita"),"")</f>
        <v/>
      </c>
      <c r="O719" t="str">
        <f>IF(N719="","",C719&amp;"|"&amp;N719)</f>
        <v/>
      </c>
      <c r="P719" t="str">
        <f>IF(N719="","",IF(N719=1,0,MATCH(C719&amp;"|"&amp;(N719-1),$O$5:$O$1004,0)))</f>
        <v/>
      </c>
      <c r="Q719" t="str">
        <f>IF(N719="","",IF(P719=0,SUMIFS(Calcoli!$C$7:$C$21,Calcoli!$A$7:$A$21,C719),INDEX($S$5:$S$1004,P719)))</f>
        <v/>
      </c>
      <c r="R719" t="str">
        <f>IF(N719="","",IF(P719=0,SUMIFS(Calcoli!$D$7:$D$21,Calcoli!$A$7:$A$21,C719),INDEX($T$5:$T$1004,P719)))</f>
        <v/>
      </c>
      <c r="S719" t="str">
        <f>IF(N719="","",IF(B719="Acquisto",Q719+N(D719),MAX(0,Q719-N(D719))))</f>
        <v/>
      </c>
      <c r="T719" t="str">
        <f>IF(N719="","",IF(B719="Acquisto",R719+J719+N(G719),IF(Q719&lt;=0,0,R719*(1-MIN(1,N(D719)/Q719)))))</f>
        <v/>
      </c>
      <c r="U719" t="str">
        <f>IF(B719&lt;&gt;"Vendita","",J719-N(G719)-IF(Q719&lt;=0,0,R719*MIN(1,N(D719)/Q719)))</f>
        <v/>
      </c>
      <c r="V719" t="str">
        <f>IF(B719&lt;&gt;"Dividendo","",IF(Calcoli!$B$251=1,J719,L719))</f>
        <v/>
      </c>
      <c r="W719" t="str">
        <f>IF(AND(V719&lt;&gt;"",ISNUMBER(A719)),A719,"")</f>
        <v/>
      </c>
    </row>
    <row r="720">
      <c r="A720" s="134" t="n"/>
      <c r="B720" s="116" t="n"/>
      <c r="C720" s="116" t="n"/>
      <c r="D720" s="121" t="n"/>
      <c r="E720" s="120" t="n"/>
      <c r="F720" s="120" t="n"/>
      <c r="G720" s="120" t="n"/>
      <c r="H720" s="120" t="n"/>
      <c r="I720" s="117" t="n"/>
      <c r="J720" s="123" t="str">
        <f>IF(B720="","",IF(F720&lt;&gt;"",N(F720),ROUND(N(D720)*N(E720),2)))</f>
        <v/>
      </c>
      <c r="K720" s="123" t="str">
        <f>IF(B720="","",IF(H720&lt;&gt;"",N(H720),IF(B720="Dividendo",ROUND(J720*IFERROR(INDEX(Calcoli!$V$7:$V$21,MATCH(C720,Calcoli!$A$7:$A$21,0)),0.26),2),IF(B720="Vendita",ROUND(MAX(0,U720)*IFERROR(INDEX(Calcoli!$V$7:$V$21,MATCH(C720,Calcoli!$A$7:$A$21,0)),0.26),2),0))))</f>
        <v/>
      </c>
      <c r="L720" s="135" t="str">
        <f>IF(B720="","",IF(B720="Acquisto",-(J720+N(G720)),J720-N(G720)-K720))</f>
        <v/>
      </c>
      <c r="M720" s="127" t="str">
        <f>IF(B720="","",IF(ISNA(MATCH(C720,ETF!$A$7:$A$21,0)),"ETF?",IF(NOT(ISNUMBER(A720)),"Data?",IF(AND(B720&lt;&gt;"Dividendo",N(D720)&lt;=0),"Quote?",IF(AND(B720="Vendita",N(D720)&gt;N(Q720)+0.000001),"Quote?",IF(J720&lt;=0,"Importo?","✓"))))))</f>
        <v/>
      </c>
      <c r="N720" t="str">
        <f>IF(OR(B720="Acquisto",B720="Vendita"),COUNTIFS($C$5:C720,C720,$B$5:B720,"Acquisto")+COUNTIFS($C$5:C720,C720,$B$5:B720,"Vendita"),"")</f>
        <v/>
      </c>
      <c r="O720" t="str">
        <f>IF(N720="","",C720&amp;"|"&amp;N720)</f>
        <v/>
      </c>
      <c r="P720" t="str">
        <f>IF(N720="","",IF(N720=1,0,MATCH(C720&amp;"|"&amp;(N720-1),$O$5:$O$1004,0)))</f>
        <v/>
      </c>
      <c r="Q720" t="str">
        <f>IF(N720="","",IF(P720=0,SUMIFS(Calcoli!$C$7:$C$21,Calcoli!$A$7:$A$21,C720),INDEX($S$5:$S$1004,P720)))</f>
        <v/>
      </c>
      <c r="R720" t="str">
        <f>IF(N720="","",IF(P720=0,SUMIFS(Calcoli!$D$7:$D$21,Calcoli!$A$7:$A$21,C720),INDEX($T$5:$T$1004,P720)))</f>
        <v/>
      </c>
      <c r="S720" t="str">
        <f>IF(N720="","",IF(B720="Acquisto",Q720+N(D720),MAX(0,Q720-N(D720))))</f>
        <v/>
      </c>
      <c r="T720" t="str">
        <f>IF(N720="","",IF(B720="Acquisto",R720+J720+N(G720),IF(Q720&lt;=0,0,R720*(1-MIN(1,N(D720)/Q720)))))</f>
        <v/>
      </c>
      <c r="U720" t="str">
        <f>IF(B720&lt;&gt;"Vendita","",J720-N(G720)-IF(Q720&lt;=0,0,R720*MIN(1,N(D720)/Q720)))</f>
        <v/>
      </c>
      <c r="V720" t="str">
        <f>IF(B720&lt;&gt;"Dividendo","",IF(Calcoli!$B$251=1,J720,L720))</f>
        <v/>
      </c>
      <c r="W720" t="str">
        <f>IF(AND(V720&lt;&gt;"",ISNUMBER(A720)),A720,"")</f>
        <v/>
      </c>
    </row>
    <row r="721">
      <c r="A721" s="134" t="n"/>
      <c r="B721" s="116" t="n"/>
      <c r="C721" s="116" t="n"/>
      <c r="D721" s="121" t="n"/>
      <c r="E721" s="120" t="n"/>
      <c r="F721" s="120" t="n"/>
      <c r="G721" s="120" t="n"/>
      <c r="H721" s="120" t="n"/>
      <c r="I721" s="117" t="n"/>
      <c r="J721" s="123" t="str">
        <f>IF(B721="","",IF(F721&lt;&gt;"",N(F721),ROUND(N(D721)*N(E721),2)))</f>
        <v/>
      </c>
      <c r="K721" s="123" t="str">
        <f>IF(B721="","",IF(H721&lt;&gt;"",N(H721),IF(B721="Dividendo",ROUND(J721*IFERROR(INDEX(Calcoli!$V$7:$V$21,MATCH(C721,Calcoli!$A$7:$A$21,0)),0.26),2),IF(B721="Vendita",ROUND(MAX(0,U721)*IFERROR(INDEX(Calcoli!$V$7:$V$21,MATCH(C721,Calcoli!$A$7:$A$21,0)),0.26),2),0))))</f>
        <v/>
      </c>
      <c r="L721" s="135" t="str">
        <f>IF(B721="","",IF(B721="Acquisto",-(J721+N(G721)),J721-N(G721)-K721))</f>
        <v/>
      </c>
      <c r="M721" s="127" t="str">
        <f>IF(B721="","",IF(ISNA(MATCH(C721,ETF!$A$7:$A$21,0)),"ETF?",IF(NOT(ISNUMBER(A721)),"Data?",IF(AND(B721&lt;&gt;"Dividendo",N(D721)&lt;=0),"Quote?",IF(AND(B721="Vendita",N(D721)&gt;N(Q721)+0.000001),"Quote?",IF(J721&lt;=0,"Importo?","✓"))))))</f>
        <v/>
      </c>
      <c r="N721" t="str">
        <f>IF(OR(B721="Acquisto",B721="Vendita"),COUNTIFS($C$5:C721,C721,$B$5:B721,"Acquisto")+COUNTIFS($C$5:C721,C721,$B$5:B721,"Vendita"),"")</f>
        <v/>
      </c>
      <c r="O721" t="str">
        <f>IF(N721="","",C721&amp;"|"&amp;N721)</f>
        <v/>
      </c>
      <c r="P721" t="str">
        <f>IF(N721="","",IF(N721=1,0,MATCH(C721&amp;"|"&amp;(N721-1),$O$5:$O$1004,0)))</f>
        <v/>
      </c>
      <c r="Q721" t="str">
        <f>IF(N721="","",IF(P721=0,SUMIFS(Calcoli!$C$7:$C$21,Calcoli!$A$7:$A$21,C721),INDEX($S$5:$S$1004,P721)))</f>
        <v/>
      </c>
      <c r="R721" t="str">
        <f>IF(N721="","",IF(P721=0,SUMIFS(Calcoli!$D$7:$D$21,Calcoli!$A$7:$A$21,C721),INDEX($T$5:$T$1004,P721)))</f>
        <v/>
      </c>
      <c r="S721" t="str">
        <f>IF(N721="","",IF(B721="Acquisto",Q721+N(D721),MAX(0,Q721-N(D721))))</f>
        <v/>
      </c>
      <c r="T721" t="str">
        <f>IF(N721="","",IF(B721="Acquisto",R721+J721+N(G721),IF(Q721&lt;=0,0,R721*(1-MIN(1,N(D721)/Q721)))))</f>
        <v/>
      </c>
      <c r="U721" t="str">
        <f>IF(B721&lt;&gt;"Vendita","",J721-N(G721)-IF(Q721&lt;=0,0,R721*MIN(1,N(D721)/Q721)))</f>
        <v/>
      </c>
      <c r="V721" t="str">
        <f>IF(B721&lt;&gt;"Dividendo","",IF(Calcoli!$B$251=1,J721,L721))</f>
        <v/>
      </c>
      <c r="W721" t="str">
        <f>IF(AND(V721&lt;&gt;"",ISNUMBER(A721)),A721,"")</f>
        <v/>
      </c>
    </row>
    <row r="722">
      <c r="A722" s="134" t="n"/>
      <c r="B722" s="116" t="n"/>
      <c r="C722" s="116" t="n"/>
      <c r="D722" s="121" t="n"/>
      <c r="E722" s="120" t="n"/>
      <c r="F722" s="120" t="n"/>
      <c r="G722" s="120" t="n"/>
      <c r="H722" s="120" t="n"/>
      <c r="I722" s="117" t="n"/>
      <c r="J722" s="123" t="str">
        <f>IF(B722="","",IF(F722&lt;&gt;"",N(F722),ROUND(N(D722)*N(E722),2)))</f>
        <v/>
      </c>
      <c r="K722" s="123" t="str">
        <f>IF(B722="","",IF(H722&lt;&gt;"",N(H722),IF(B722="Dividendo",ROUND(J722*IFERROR(INDEX(Calcoli!$V$7:$V$21,MATCH(C722,Calcoli!$A$7:$A$21,0)),0.26),2),IF(B722="Vendita",ROUND(MAX(0,U722)*IFERROR(INDEX(Calcoli!$V$7:$V$21,MATCH(C722,Calcoli!$A$7:$A$21,0)),0.26),2),0))))</f>
        <v/>
      </c>
      <c r="L722" s="135" t="str">
        <f>IF(B722="","",IF(B722="Acquisto",-(J722+N(G722)),J722-N(G722)-K722))</f>
        <v/>
      </c>
      <c r="M722" s="127" t="str">
        <f>IF(B722="","",IF(ISNA(MATCH(C722,ETF!$A$7:$A$21,0)),"ETF?",IF(NOT(ISNUMBER(A722)),"Data?",IF(AND(B722&lt;&gt;"Dividendo",N(D722)&lt;=0),"Quote?",IF(AND(B722="Vendita",N(D722)&gt;N(Q722)+0.000001),"Quote?",IF(J722&lt;=0,"Importo?","✓"))))))</f>
        <v/>
      </c>
      <c r="N722" t="str">
        <f>IF(OR(B722="Acquisto",B722="Vendita"),COUNTIFS($C$5:C722,C722,$B$5:B722,"Acquisto")+COUNTIFS($C$5:C722,C722,$B$5:B722,"Vendita"),"")</f>
        <v/>
      </c>
      <c r="O722" t="str">
        <f>IF(N722="","",C722&amp;"|"&amp;N722)</f>
        <v/>
      </c>
      <c r="P722" t="str">
        <f>IF(N722="","",IF(N722=1,0,MATCH(C722&amp;"|"&amp;(N722-1),$O$5:$O$1004,0)))</f>
        <v/>
      </c>
      <c r="Q722" t="str">
        <f>IF(N722="","",IF(P722=0,SUMIFS(Calcoli!$C$7:$C$21,Calcoli!$A$7:$A$21,C722),INDEX($S$5:$S$1004,P722)))</f>
        <v/>
      </c>
      <c r="R722" t="str">
        <f>IF(N722="","",IF(P722=0,SUMIFS(Calcoli!$D$7:$D$21,Calcoli!$A$7:$A$21,C722),INDEX($T$5:$T$1004,P722)))</f>
        <v/>
      </c>
      <c r="S722" t="str">
        <f>IF(N722="","",IF(B722="Acquisto",Q722+N(D722),MAX(0,Q722-N(D722))))</f>
        <v/>
      </c>
      <c r="T722" t="str">
        <f>IF(N722="","",IF(B722="Acquisto",R722+J722+N(G722),IF(Q722&lt;=0,0,R722*(1-MIN(1,N(D722)/Q722)))))</f>
        <v/>
      </c>
      <c r="U722" t="str">
        <f>IF(B722&lt;&gt;"Vendita","",J722-N(G722)-IF(Q722&lt;=0,0,R722*MIN(1,N(D722)/Q722)))</f>
        <v/>
      </c>
      <c r="V722" t="str">
        <f>IF(B722&lt;&gt;"Dividendo","",IF(Calcoli!$B$251=1,J722,L722))</f>
        <v/>
      </c>
      <c r="W722" t="str">
        <f>IF(AND(V722&lt;&gt;"",ISNUMBER(A722)),A722,"")</f>
        <v/>
      </c>
    </row>
    <row r="723">
      <c r="A723" s="134" t="n"/>
      <c r="B723" s="116" t="n"/>
      <c r="C723" s="116" t="n"/>
      <c r="D723" s="121" t="n"/>
      <c r="E723" s="120" t="n"/>
      <c r="F723" s="120" t="n"/>
      <c r="G723" s="120" t="n"/>
      <c r="H723" s="120" t="n"/>
      <c r="I723" s="117" t="n"/>
      <c r="J723" s="123" t="str">
        <f>IF(B723="","",IF(F723&lt;&gt;"",N(F723),ROUND(N(D723)*N(E723),2)))</f>
        <v/>
      </c>
      <c r="K723" s="123" t="str">
        <f>IF(B723="","",IF(H723&lt;&gt;"",N(H723),IF(B723="Dividendo",ROUND(J723*IFERROR(INDEX(Calcoli!$V$7:$V$21,MATCH(C723,Calcoli!$A$7:$A$21,0)),0.26),2),IF(B723="Vendita",ROUND(MAX(0,U723)*IFERROR(INDEX(Calcoli!$V$7:$V$21,MATCH(C723,Calcoli!$A$7:$A$21,0)),0.26),2),0))))</f>
        <v/>
      </c>
      <c r="L723" s="135" t="str">
        <f>IF(B723="","",IF(B723="Acquisto",-(J723+N(G723)),J723-N(G723)-K723))</f>
        <v/>
      </c>
      <c r="M723" s="127" t="str">
        <f>IF(B723="","",IF(ISNA(MATCH(C723,ETF!$A$7:$A$21,0)),"ETF?",IF(NOT(ISNUMBER(A723)),"Data?",IF(AND(B723&lt;&gt;"Dividendo",N(D723)&lt;=0),"Quote?",IF(AND(B723="Vendita",N(D723)&gt;N(Q723)+0.000001),"Quote?",IF(J723&lt;=0,"Importo?","✓"))))))</f>
        <v/>
      </c>
      <c r="N723" t="str">
        <f>IF(OR(B723="Acquisto",B723="Vendita"),COUNTIFS($C$5:C723,C723,$B$5:B723,"Acquisto")+COUNTIFS($C$5:C723,C723,$B$5:B723,"Vendita"),"")</f>
        <v/>
      </c>
      <c r="O723" t="str">
        <f>IF(N723="","",C723&amp;"|"&amp;N723)</f>
        <v/>
      </c>
      <c r="P723" t="str">
        <f>IF(N723="","",IF(N723=1,0,MATCH(C723&amp;"|"&amp;(N723-1),$O$5:$O$1004,0)))</f>
        <v/>
      </c>
      <c r="Q723" t="str">
        <f>IF(N723="","",IF(P723=0,SUMIFS(Calcoli!$C$7:$C$21,Calcoli!$A$7:$A$21,C723),INDEX($S$5:$S$1004,P723)))</f>
        <v/>
      </c>
      <c r="R723" t="str">
        <f>IF(N723="","",IF(P723=0,SUMIFS(Calcoli!$D$7:$D$21,Calcoli!$A$7:$A$21,C723),INDEX($T$5:$T$1004,P723)))</f>
        <v/>
      </c>
      <c r="S723" t="str">
        <f>IF(N723="","",IF(B723="Acquisto",Q723+N(D723),MAX(0,Q723-N(D723))))</f>
        <v/>
      </c>
      <c r="T723" t="str">
        <f>IF(N723="","",IF(B723="Acquisto",R723+J723+N(G723),IF(Q723&lt;=0,0,R723*(1-MIN(1,N(D723)/Q723)))))</f>
        <v/>
      </c>
      <c r="U723" t="str">
        <f>IF(B723&lt;&gt;"Vendita","",J723-N(G723)-IF(Q723&lt;=0,0,R723*MIN(1,N(D723)/Q723)))</f>
        <v/>
      </c>
      <c r="V723" t="str">
        <f>IF(B723&lt;&gt;"Dividendo","",IF(Calcoli!$B$251=1,J723,L723))</f>
        <v/>
      </c>
      <c r="W723" t="str">
        <f>IF(AND(V723&lt;&gt;"",ISNUMBER(A723)),A723,"")</f>
        <v/>
      </c>
    </row>
    <row r="724">
      <c r="A724" s="134" t="n"/>
      <c r="B724" s="116" t="n"/>
      <c r="C724" s="116" t="n"/>
      <c r="D724" s="121" t="n"/>
      <c r="E724" s="120" t="n"/>
      <c r="F724" s="120" t="n"/>
      <c r="G724" s="120" t="n"/>
      <c r="H724" s="120" t="n"/>
      <c r="I724" s="117" t="n"/>
      <c r="J724" s="123" t="str">
        <f>IF(B724="","",IF(F724&lt;&gt;"",N(F724),ROUND(N(D724)*N(E724),2)))</f>
        <v/>
      </c>
      <c r="K724" s="123" t="str">
        <f>IF(B724="","",IF(H724&lt;&gt;"",N(H724),IF(B724="Dividendo",ROUND(J724*IFERROR(INDEX(Calcoli!$V$7:$V$21,MATCH(C724,Calcoli!$A$7:$A$21,0)),0.26),2),IF(B724="Vendita",ROUND(MAX(0,U724)*IFERROR(INDEX(Calcoli!$V$7:$V$21,MATCH(C724,Calcoli!$A$7:$A$21,0)),0.26),2),0))))</f>
        <v/>
      </c>
      <c r="L724" s="135" t="str">
        <f>IF(B724="","",IF(B724="Acquisto",-(J724+N(G724)),J724-N(G724)-K724))</f>
        <v/>
      </c>
      <c r="M724" s="127" t="str">
        <f>IF(B724="","",IF(ISNA(MATCH(C724,ETF!$A$7:$A$21,0)),"ETF?",IF(NOT(ISNUMBER(A724)),"Data?",IF(AND(B724&lt;&gt;"Dividendo",N(D724)&lt;=0),"Quote?",IF(AND(B724="Vendita",N(D724)&gt;N(Q724)+0.000001),"Quote?",IF(J724&lt;=0,"Importo?","✓"))))))</f>
        <v/>
      </c>
      <c r="N724" t="str">
        <f>IF(OR(B724="Acquisto",B724="Vendita"),COUNTIFS($C$5:C724,C724,$B$5:B724,"Acquisto")+COUNTIFS($C$5:C724,C724,$B$5:B724,"Vendita"),"")</f>
        <v/>
      </c>
      <c r="O724" t="str">
        <f>IF(N724="","",C724&amp;"|"&amp;N724)</f>
        <v/>
      </c>
      <c r="P724" t="str">
        <f>IF(N724="","",IF(N724=1,0,MATCH(C724&amp;"|"&amp;(N724-1),$O$5:$O$1004,0)))</f>
        <v/>
      </c>
      <c r="Q724" t="str">
        <f>IF(N724="","",IF(P724=0,SUMIFS(Calcoli!$C$7:$C$21,Calcoli!$A$7:$A$21,C724),INDEX($S$5:$S$1004,P724)))</f>
        <v/>
      </c>
      <c r="R724" t="str">
        <f>IF(N724="","",IF(P724=0,SUMIFS(Calcoli!$D$7:$D$21,Calcoli!$A$7:$A$21,C724),INDEX($T$5:$T$1004,P724)))</f>
        <v/>
      </c>
      <c r="S724" t="str">
        <f>IF(N724="","",IF(B724="Acquisto",Q724+N(D724),MAX(0,Q724-N(D724))))</f>
        <v/>
      </c>
      <c r="T724" t="str">
        <f>IF(N724="","",IF(B724="Acquisto",R724+J724+N(G724),IF(Q724&lt;=0,0,R724*(1-MIN(1,N(D724)/Q724)))))</f>
        <v/>
      </c>
      <c r="U724" t="str">
        <f>IF(B724&lt;&gt;"Vendita","",J724-N(G724)-IF(Q724&lt;=0,0,R724*MIN(1,N(D724)/Q724)))</f>
        <v/>
      </c>
      <c r="V724" t="str">
        <f>IF(B724&lt;&gt;"Dividendo","",IF(Calcoli!$B$251=1,J724,L724))</f>
        <v/>
      </c>
      <c r="W724" t="str">
        <f>IF(AND(V724&lt;&gt;"",ISNUMBER(A724)),A724,"")</f>
        <v/>
      </c>
    </row>
    <row r="725">
      <c r="A725" s="134" t="n"/>
      <c r="B725" s="116" t="n"/>
      <c r="C725" s="116" t="n"/>
      <c r="D725" s="121" t="n"/>
      <c r="E725" s="120" t="n"/>
      <c r="F725" s="120" t="n"/>
      <c r="G725" s="120" t="n"/>
      <c r="H725" s="120" t="n"/>
      <c r="I725" s="117" t="n"/>
      <c r="J725" s="123" t="str">
        <f>IF(B725="","",IF(F725&lt;&gt;"",N(F725),ROUND(N(D725)*N(E725),2)))</f>
        <v/>
      </c>
      <c r="K725" s="123" t="str">
        <f>IF(B725="","",IF(H725&lt;&gt;"",N(H725),IF(B725="Dividendo",ROUND(J725*IFERROR(INDEX(Calcoli!$V$7:$V$21,MATCH(C725,Calcoli!$A$7:$A$21,0)),0.26),2),IF(B725="Vendita",ROUND(MAX(0,U725)*IFERROR(INDEX(Calcoli!$V$7:$V$21,MATCH(C725,Calcoli!$A$7:$A$21,0)),0.26),2),0))))</f>
        <v/>
      </c>
      <c r="L725" s="135" t="str">
        <f>IF(B725="","",IF(B725="Acquisto",-(J725+N(G725)),J725-N(G725)-K725))</f>
        <v/>
      </c>
      <c r="M725" s="127" t="str">
        <f>IF(B725="","",IF(ISNA(MATCH(C725,ETF!$A$7:$A$21,0)),"ETF?",IF(NOT(ISNUMBER(A725)),"Data?",IF(AND(B725&lt;&gt;"Dividendo",N(D725)&lt;=0),"Quote?",IF(AND(B725="Vendita",N(D725)&gt;N(Q725)+0.000001),"Quote?",IF(J725&lt;=0,"Importo?","✓"))))))</f>
        <v/>
      </c>
      <c r="N725" t="str">
        <f>IF(OR(B725="Acquisto",B725="Vendita"),COUNTIFS($C$5:C725,C725,$B$5:B725,"Acquisto")+COUNTIFS($C$5:C725,C725,$B$5:B725,"Vendita"),"")</f>
        <v/>
      </c>
      <c r="O725" t="str">
        <f>IF(N725="","",C725&amp;"|"&amp;N725)</f>
        <v/>
      </c>
      <c r="P725" t="str">
        <f>IF(N725="","",IF(N725=1,0,MATCH(C725&amp;"|"&amp;(N725-1),$O$5:$O$1004,0)))</f>
        <v/>
      </c>
      <c r="Q725" t="str">
        <f>IF(N725="","",IF(P725=0,SUMIFS(Calcoli!$C$7:$C$21,Calcoli!$A$7:$A$21,C725),INDEX($S$5:$S$1004,P725)))</f>
        <v/>
      </c>
      <c r="R725" t="str">
        <f>IF(N725="","",IF(P725=0,SUMIFS(Calcoli!$D$7:$D$21,Calcoli!$A$7:$A$21,C725),INDEX($T$5:$T$1004,P725)))</f>
        <v/>
      </c>
      <c r="S725" t="str">
        <f>IF(N725="","",IF(B725="Acquisto",Q725+N(D725),MAX(0,Q725-N(D725))))</f>
        <v/>
      </c>
      <c r="T725" t="str">
        <f>IF(N725="","",IF(B725="Acquisto",R725+J725+N(G725),IF(Q725&lt;=0,0,R725*(1-MIN(1,N(D725)/Q725)))))</f>
        <v/>
      </c>
      <c r="U725" t="str">
        <f>IF(B725&lt;&gt;"Vendita","",J725-N(G725)-IF(Q725&lt;=0,0,R725*MIN(1,N(D725)/Q725)))</f>
        <v/>
      </c>
      <c r="V725" t="str">
        <f>IF(B725&lt;&gt;"Dividendo","",IF(Calcoli!$B$251=1,J725,L725))</f>
        <v/>
      </c>
      <c r="W725" t="str">
        <f>IF(AND(V725&lt;&gt;"",ISNUMBER(A725)),A725,"")</f>
        <v/>
      </c>
    </row>
    <row r="726">
      <c r="A726" s="134" t="n"/>
      <c r="B726" s="116" t="n"/>
      <c r="C726" s="116" t="n"/>
      <c r="D726" s="121" t="n"/>
      <c r="E726" s="120" t="n"/>
      <c r="F726" s="120" t="n"/>
      <c r="G726" s="120" t="n"/>
      <c r="H726" s="120" t="n"/>
      <c r="I726" s="117" t="n"/>
      <c r="J726" s="123" t="str">
        <f>IF(B726="","",IF(F726&lt;&gt;"",N(F726),ROUND(N(D726)*N(E726),2)))</f>
        <v/>
      </c>
      <c r="K726" s="123" t="str">
        <f>IF(B726="","",IF(H726&lt;&gt;"",N(H726),IF(B726="Dividendo",ROUND(J726*IFERROR(INDEX(Calcoli!$V$7:$V$21,MATCH(C726,Calcoli!$A$7:$A$21,0)),0.26),2),IF(B726="Vendita",ROUND(MAX(0,U726)*IFERROR(INDEX(Calcoli!$V$7:$V$21,MATCH(C726,Calcoli!$A$7:$A$21,0)),0.26),2),0))))</f>
        <v/>
      </c>
      <c r="L726" s="135" t="str">
        <f>IF(B726="","",IF(B726="Acquisto",-(J726+N(G726)),J726-N(G726)-K726))</f>
        <v/>
      </c>
      <c r="M726" s="127" t="str">
        <f>IF(B726="","",IF(ISNA(MATCH(C726,ETF!$A$7:$A$21,0)),"ETF?",IF(NOT(ISNUMBER(A726)),"Data?",IF(AND(B726&lt;&gt;"Dividendo",N(D726)&lt;=0),"Quote?",IF(AND(B726="Vendita",N(D726)&gt;N(Q726)+0.000001),"Quote?",IF(J726&lt;=0,"Importo?","✓"))))))</f>
        <v/>
      </c>
      <c r="N726" t="str">
        <f>IF(OR(B726="Acquisto",B726="Vendita"),COUNTIFS($C$5:C726,C726,$B$5:B726,"Acquisto")+COUNTIFS($C$5:C726,C726,$B$5:B726,"Vendita"),"")</f>
        <v/>
      </c>
      <c r="O726" t="str">
        <f>IF(N726="","",C726&amp;"|"&amp;N726)</f>
        <v/>
      </c>
      <c r="P726" t="str">
        <f>IF(N726="","",IF(N726=1,0,MATCH(C726&amp;"|"&amp;(N726-1),$O$5:$O$1004,0)))</f>
        <v/>
      </c>
      <c r="Q726" t="str">
        <f>IF(N726="","",IF(P726=0,SUMIFS(Calcoli!$C$7:$C$21,Calcoli!$A$7:$A$21,C726),INDEX($S$5:$S$1004,P726)))</f>
        <v/>
      </c>
      <c r="R726" t="str">
        <f>IF(N726="","",IF(P726=0,SUMIFS(Calcoli!$D$7:$D$21,Calcoli!$A$7:$A$21,C726),INDEX($T$5:$T$1004,P726)))</f>
        <v/>
      </c>
      <c r="S726" t="str">
        <f>IF(N726="","",IF(B726="Acquisto",Q726+N(D726),MAX(0,Q726-N(D726))))</f>
        <v/>
      </c>
      <c r="T726" t="str">
        <f>IF(N726="","",IF(B726="Acquisto",R726+J726+N(G726),IF(Q726&lt;=0,0,R726*(1-MIN(1,N(D726)/Q726)))))</f>
        <v/>
      </c>
      <c r="U726" t="str">
        <f>IF(B726&lt;&gt;"Vendita","",J726-N(G726)-IF(Q726&lt;=0,0,R726*MIN(1,N(D726)/Q726)))</f>
        <v/>
      </c>
      <c r="V726" t="str">
        <f>IF(B726&lt;&gt;"Dividendo","",IF(Calcoli!$B$251=1,J726,L726))</f>
        <v/>
      </c>
      <c r="W726" t="str">
        <f>IF(AND(V726&lt;&gt;"",ISNUMBER(A726)),A726,"")</f>
        <v/>
      </c>
    </row>
    <row r="727">
      <c r="A727" s="134" t="n"/>
      <c r="B727" s="116" t="n"/>
      <c r="C727" s="116" t="n"/>
      <c r="D727" s="121" t="n"/>
      <c r="E727" s="120" t="n"/>
      <c r="F727" s="120" t="n"/>
      <c r="G727" s="120" t="n"/>
      <c r="H727" s="120" t="n"/>
      <c r="I727" s="117" t="n"/>
      <c r="J727" s="123" t="str">
        <f>IF(B727="","",IF(F727&lt;&gt;"",N(F727),ROUND(N(D727)*N(E727),2)))</f>
        <v/>
      </c>
      <c r="K727" s="123" t="str">
        <f>IF(B727="","",IF(H727&lt;&gt;"",N(H727),IF(B727="Dividendo",ROUND(J727*IFERROR(INDEX(Calcoli!$V$7:$V$21,MATCH(C727,Calcoli!$A$7:$A$21,0)),0.26),2),IF(B727="Vendita",ROUND(MAX(0,U727)*IFERROR(INDEX(Calcoli!$V$7:$V$21,MATCH(C727,Calcoli!$A$7:$A$21,0)),0.26),2),0))))</f>
        <v/>
      </c>
      <c r="L727" s="135" t="str">
        <f>IF(B727="","",IF(B727="Acquisto",-(J727+N(G727)),J727-N(G727)-K727))</f>
        <v/>
      </c>
      <c r="M727" s="127" t="str">
        <f>IF(B727="","",IF(ISNA(MATCH(C727,ETF!$A$7:$A$21,0)),"ETF?",IF(NOT(ISNUMBER(A727)),"Data?",IF(AND(B727&lt;&gt;"Dividendo",N(D727)&lt;=0),"Quote?",IF(AND(B727="Vendita",N(D727)&gt;N(Q727)+0.000001),"Quote?",IF(J727&lt;=0,"Importo?","✓"))))))</f>
        <v/>
      </c>
      <c r="N727" t="str">
        <f>IF(OR(B727="Acquisto",B727="Vendita"),COUNTIFS($C$5:C727,C727,$B$5:B727,"Acquisto")+COUNTIFS($C$5:C727,C727,$B$5:B727,"Vendita"),"")</f>
        <v/>
      </c>
      <c r="O727" t="str">
        <f>IF(N727="","",C727&amp;"|"&amp;N727)</f>
        <v/>
      </c>
      <c r="P727" t="str">
        <f>IF(N727="","",IF(N727=1,0,MATCH(C727&amp;"|"&amp;(N727-1),$O$5:$O$1004,0)))</f>
        <v/>
      </c>
      <c r="Q727" t="str">
        <f>IF(N727="","",IF(P727=0,SUMIFS(Calcoli!$C$7:$C$21,Calcoli!$A$7:$A$21,C727),INDEX($S$5:$S$1004,P727)))</f>
        <v/>
      </c>
      <c r="R727" t="str">
        <f>IF(N727="","",IF(P727=0,SUMIFS(Calcoli!$D$7:$D$21,Calcoli!$A$7:$A$21,C727),INDEX($T$5:$T$1004,P727)))</f>
        <v/>
      </c>
      <c r="S727" t="str">
        <f>IF(N727="","",IF(B727="Acquisto",Q727+N(D727),MAX(0,Q727-N(D727))))</f>
        <v/>
      </c>
      <c r="T727" t="str">
        <f>IF(N727="","",IF(B727="Acquisto",R727+J727+N(G727),IF(Q727&lt;=0,0,R727*(1-MIN(1,N(D727)/Q727)))))</f>
        <v/>
      </c>
      <c r="U727" t="str">
        <f>IF(B727&lt;&gt;"Vendita","",J727-N(G727)-IF(Q727&lt;=0,0,R727*MIN(1,N(D727)/Q727)))</f>
        <v/>
      </c>
      <c r="V727" t="str">
        <f>IF(B727&lt;&gt;"Dividendo","",IF(Calcoli!$B$251=1,J727,L727))</f>
        <v/>
      </c>
      <c r="W727" t="str">
        <f>IF(AND(V727&lt;&gt;"",ISNUMBER(A727)),A727,"")</f>
        <v/>
      </c>
    </row>
    <row r="728">
      <c r="A728" s="134" t="n"/>
      <c r="B728" s="116" t="n"/>
      <c r="C728" s="116" t="n"/>
      <c r="D728" s="121" t="n"/>
      <c r="E728" s="120" t="n"/>
      <c r="F728" s="120" t="n"/>
      <c r="G728" s="120" t="n"/>
      <c r="H728" s="120" t="n"/>
      <c r="I728" s="117" t="n"/>
      <c r="J728" s="123" t="str">
        <f>IF(B728="","",IF(F728&lt;&gt;"",N(F728),ROUND(N(D728)*N(E728),2)))</f>
        <v/>
      </c>
      <c r="K728" s="123" t="str">
        <f>IF(B728="","",IF(H728&lt;&gt;"",N(H728),IF(B728="Dividendo",ROUND(J728*IFERROR(INDEX(Calcoli!$V$7:$V$21,MATCH(C728,Calcoli!$A$7:$A$21,0)),0.26),2),IF(B728="Vendita",ROUND(MAX(0,U728)*IFERROR(INDEX(Calcoli!$V$7:$V$21,MATCH(C728,Calcoli!$A$7:$A$21,0)),0.26),2),0))))</f>
        <v/>
      </c>
      <c r="L728" s="135" t="str">
        <f>IF(B728="","",IF(B728="Acquisto",-(J728+N(G728)),J728-N(G728)-K728))</f>
        <v/>
      </c>
      <c r="M728" s="127" t="str">
        <f>IF(B728="","",IF(ISNA(MATCH(C728,ETF!$A$7:$A$21,0)),"ETF?",IF(NOT(ISNUMBER(A728)),"Data?",IF(AND(B728&lt;&gt;"Dividendo",N(D728)&lt;=0),"Quote?",IF(AND(B728="Vendita",N(D728)&gt;N(Q728)+0.000001),"Quote?",IF(J728&lt;=0,"Importo?","✓"))))))</f>
        <v/>
      </c>
      <c r="N728" t="str">
        <f>IF(OR(B728="Acquisto",B728="Vendita"),COUNTIFS($C$5:C728,C728,$B$5:B728,"Acquisto")+COUNTIFS($C$5:C728,C728,$B$5:B728,"Vendita"),"")</f>
        <v/>
      </c>
      <c r="O728" t="str">
        <f>IF(N728="","",C728&amp;"|"&amp;N728)</f>
        <v/>
      </c>
      <c r="P728" t="str">
        <f>IF(N728="","",IF(N728=1,0,MATCH(C728&amp;"|"&amp;(N728-1),$O$5:$O$1004,0)))</f>
        <v/>
      </c>
      <c r="Q728" t="str">
        <f>IF(N728="","",IF(P728=0,SUMIFS(Calcoli!$C$7:$C$21,Calcoli!$A$7:$A$21,C728),INDEX($S$5:$S$1004,P728)))</f>
        <v/>
      </c>
      <c r="R728" t="str">
        <f>IF(N728="","",IF(P728=0,SUMIFS(Calcoli!$D$7:$D$21,Calcoli!$A$7:$A$21,C728),INDEX($T$5:$T$1004,P728)))</f>
        <v/>
      </c>
      <c r="S728" t="str">
        <f>IF(N728="","",IF(B728="Acquisto",Q728+N(D728),MAX(0,Q728-N(D728))))</f>
        <v/>
      </c>
      <c r="T728" t="str">
        <f>IF(N728="","",IF(B728="Acquisto",R728+J728+N(G728),IF(Q728&lt;=0,0,R728*(1-MIN(1,N(D728)/Q728)))))</f>
        <v/>
      </c>
      <c r="U728" t="str">
        <f>IF(B728&lt;&gt;"Vendita","",J728-N(G728)-IF(Q728&lt;=0,0,R728*MIN(1,N(D728)/Q728)))</f>
        <v/>
      </c>
      <c r="V728" t="str">
        <f>IF(B728&lt;&gt;"Dividendo","",IF(Calcoli!$B$251=1,J728,L728))</f>
        <v/>
      </c>
      <c r="W728" t="str">
        <f>IF(AND(V728&lt;&gt;"",ISNUMBER(A728)),A728,"")</f>
        <v/>
      </c>
    </row>
    <row r="729">
      <c r="A729" s="134" t="n"/>
      <c r="B729" s="116" t="n"/>
      <c r="C729" s="116" t="n"/>
      <c r="D729" s="121" t="n"/>
      <c r="E729" s="120" t="n"/>
      <c r="F729" s="120" t="n"/>
      <c r="G729" s="120" t="n"/>
      <c r="H729" s="120" t="n"/>
      <c r="I729" s="117" t="n"/>
      <c r="J729" s="123" t="str">
        <f>IF(B729="","",IF(F729&lt;&gt;"",N(F729),ROUND(N(D729)*N(E729),2)))</f>
        <v/>
      </c>
      <c r="K729" s="123" t="str">
        <f>IF(B729="","",IF(H729&lt;&gt;"",N(H729),IF(B729="Dividendo",ROUND(J729*IFERROR(INDEX(Calcoli!$V$7:$V$21,MATCH(C729,Calcoli!$A$7:$A$21,0)),0.26),2),IF(B729="Vendita",ROUND(MAX(0,U729)*IFERROR(INDEX(Calcoli!$V$7:$V$21,MATCH(C729,Calcoli!$A$7:$A$21,0)),0.26),2),0))))</f>
        <v/>
      </c>
      <c r="L729" s="135" t="str">
        <f>IF(B729="","",IF(B729="Acquisto",-(J729+N(G729)),J729-N(G729)-K729))</f>
        <v/>
      </c>
      <c r="M729" s="127" t="str">
        <f>IF(B729="","",IF(ISNA(MATCH(C729,ETF!$A$7:$A$21,0)),"ETF?",IF(NOT(ISNUMBER(A729)),"Data?",IF(AND(B729&lt;&gt;"Dividendo",N(D729)&lt;=0),"Quote?",IF(AND(B729="Vendita",N(D729)&gt;N(Q729)+0.000001),"Quote?",IF(J729&lt;=0,"Importo?","✓"))))))</f>
        <v/>
      </c>
      <c r="N729" t="str">
        <f>IF(OR(B729="Acquisto",B729="Vendita"),COUNTIFS($C$5:C729,C729,$B$5:B729,"Acquisto")+COUNTIFS($C$5:C729,C729,$B$5:B729,"Vendita"),"")</f>
        <v/>
      </c>
      <c r="O729" t="str">
        <f>IF(N729="","",C729&amp;"|"&amp;N729)</f>
        <v/>
      </c>
      <c r="P729" t="str">
        <f>IF(N729="","",IF(N729=1,0,MATCH(C729&amp;"|"&amp;(N729-1),$O$5:$O$1004,0)))</f>
        <v/>
      </c>
      <c r="Q729" t="str">
        <f>IF(N729="","",IF(P729=0,SUMIFS(Calcoli!$C$7:$C$21,Calcoli!$A$7:$A$21,C729),INDEX($S$5:$S$1004,P729)))</f>
        <v/>
      </c>
      <c r="R729" t="str">
        <f>IF(N729="","",IF(P729=0,SUMIFS(Calcoli!$D$7:$D$21,Calcoli!$A$7:$A$21,C729),INDEX($T$5:$T$1004,P729)))</f>
        <v/>
      </c>
      <c r="S729" t="str">
        <f>IF(N729="","",IF(B729="Acquisto",Q729+N(D729),MAX(0,Q729-N(D729))))</f>
        <v/>
      </c>
      <c r="T729" t="str">
        <f>IF(N729="","",IF(B729="Acquisto",R729+J729+N(G729),IF(Q729&lt;=0,0,R729*(1-MIN(1,N(D729)/Q729)))))</f>
        <v/>
      </c>
      <c r="U729" t="str">
        <f>IF(B729&lt;&gt;"Vendita","",J729-N(G729)-IF(Q729&lt;=0,0,R729*MIN(1,N(D729)/Q729)))</f>
        <v/>
      </c>
      <c r="V729" t="str">
        <f>IF(B729&lt;&gt;"Dividendo","",IF(Calcoli!$B$251=1,J729,L729))</f>
        <v/>
      </c>
      <c r="W729" t="str">
        <f>IF(AND(V729&lt;&gt;"",ISNUMBER(A729)),A729,"")</f>
        <v/>
      </c>
    </row>
    <row r="730">
      <c r="A730" s="134" t="n"/>
      <c r="B730" s="116" t="n"/>
      <c r="C730" s="116" t="n"/>
      <c r="D730" s="121" t="n"/>
      <c r="E730" s="120" t="n"/>
      <c r="F730" s="120" t="n"/>
      <c r="G730" s="120" t="n"/>
      <c r="H730" s="120" t="n"/>
      <c r="I730" s="117" t="n"/>
      <c r="J730" s="123" t="str">
        <f>IF(B730="","",IF(F730&lt;&gt;"",N(F730),ROUND(N(D730)*N(E730),2)))</f>
        <v/>
      </c>
      <c r="K730" s="123" t="str">
        <f>IF(B730="","",IF(H730&lt;&gt;"",N(H730),IF(B730="Dividendo",ROUND(J730*IFERROR(INDEX(Calcoli!$V$7:$V$21,MATCH(C730,Calcoli!$A$7:$A$21,0)),0.26),2),IF(B730="Vendita",ROUND(MAX(0,U730)*IFERROR(INDEX(Calcoli!$V$7:$V$21,MATCH(C730,Calcoli!$A$7:$A$21,0)),0.26),2),0))))</f>
        <v/>
      </c>
      <c r="L730" s="135" t="str">
        <f>IF(B730="","",IF(B730="Acquisto",-(J730+N(G730)),J730-N(G730)-K730))</f>
        <v/>
      </c>
      <c r="M730" s="127" t="str">
        <f>IF(B730="","",IF(ISNA(MATCH(C730,ETF!$A$7:$A$21,0)),"ETF?",IF(NOT(ISNUMBER(A730)),"Data?",IF(AND(B730&lt;&gt;"Dividendo",N(D730)&lt;=0),"Quote?",IF(AND(B730="Vendita",N(D730)&gt;N(Q730)+0.000001),"Quote?",IF(J730&lt;=0,"Importo?","✓"))))))</f>
        <v/>
      </c>
      <c r="N730" t="str">
        <f>IF(OR(B730="Acquisto",B730="Vendita"),COUNTIFS($C$5:C730,C730,$B$5:B730,"Acquisto")+COUNTIFS($C$5:C730,C730,$B$5:B730,"Vendita"),"")</f>
        <v/>
      </c>
      <c r="O730" t="str">
        <f>IF(N730="","",C730&amp;"|"&amp;N730)</f>
        <v/>
      </c>
      <c r="P730" t="str">
        <f>IF(N730="","",IF(N730=1,0,MATCH(C730&amp;"|"&amp;(N730-1),$O$5:$O$1004,0)))</f>
        <v/>
      </c>
      <c r="Q730" t="str">
        <f>IF(N730="","",IF(P730=0,SUMIFS(Calcoli!$C$7:$C$21,Calcoli!$A$7:$A$21,C730),INDEX($S$5:$S$1004,P730)))</f>
        <v/>
      </c>
      <c r="R730" t="str">
        <f>IF(N730="","",IF(P730=0,SUMIFS(Calcoli!$D$7:$D$21,Calcoli!$A$7:$A$21,C730),INDEX($T$5:$T$1004,P730)))</f>
        <v/>
      </c>
      <c r="S730" t="str">
        <f>IF(N730="","",IF(B730="Acquisto",Q730+N(D730),MAX(0,Q730-N(D730))))</f>
        <v/>
      </c>
      <c r="T730" t="str">
        <f>IF(N730="","",IF(B730="Acquisto",R730+J730+N(G730),IF(Q730&lt;=0,0,R730*(1-MIN(1,N(D730)/Q730)))))</f>
        <v/>
      </c>
      <c r="U730" t="str">
        <f>IF(B730&lt;&gt;"Vendita","",J730-N(G730)-IF(Q730&lt;=0,0,R730*MIN(1,N(D730)/Q730)))</f>
        <v/>
      </c>
      <c r="V730" t="str">
        <f>IF(B730&lt;&gt;"Dividendo","",IF(Calcoli!$B$251=1,J730,L730))</f>
        <v/>
      </c>
      <c r="W730" t="str">
        <f>IF(AND(V730&lt;&gt;"",ISNUMBER(A730)),A730,"")</f>
        <v/>
      </c>
    </row>
    <row r="731">
      <c r="A731" s="134" t="n"/>
      <c r="B731" s="116" t="n"/>
      <c r="C731" s="116" t="n"/>
      <c r="D731" s="121" t="n"/>
      <c r="E731" s="120" t="n"/>
      <c r="F731" s="120" t="n"/>
      <c r="G731" s="120" t="n"/>
      <c r="H731" s="120" t="n"/>
      <c r="I731" s="117" t="n"/>
      <c r="J731" s="123" t="str">
        <f>IF(B731="","",IF(F731&lt;&gt;"",N(F731),ROUND(N(D731)*N(E731),2)))</f>
        <v/>
      </c>
      <c r="K731" s="123" t="str">
        <f>IF(B731="","",IF(H731&lt;&gt;"",N(H731),IF(B731="Dividendo",ROUND(J731*IFERROR(INDEX(Calcoli!$V$7:$V$21,MATCH(C731,Calcoli!$A$7:$A$21,0)),0.26),2),IF(B731="Vendita",ROUND(MAX(0,U731)*IFERROR(INDEX(Calcoli!$V$7:$V$21,MATCH(C731,Calcoli!$A$7:$A$21,0)),0.26),2),0))))</f>
        <v/>
      </c>
      <c r="L731" s="135" t="str">
        <f>IF(B731="","",IF(B731="Acquisto",-(J731+N(G731)),J731-N(G731)-K731))</f>
        <v/>
      </c>
      <c r="M731" s="127" t="str">
        <f>IF(B731="","",IF(ISNA(MATCH(C731,ETF!$A$7:$A$21,0)),"ETF?",IF(NOT(ISNUMBER(A731)),"Data?",IF(AND(B731&lt;&gt;"Dividendo",N(D731)&lt;=0),"Quote?",IF(AND(B731="Vendita",N(D731)&gt;N(Q731)+0.000001),"Quote?",IF(J731&lt;=0,"Importo?","✓"))))))</f>
        <v/>
      </c>
      <c r="N731" t="str">
        <f>IF(OR(B731="Acquisto",B731="Vendita"),COUNTIFS($C$5:C731,C731,$B$5:B731,"Acquisto")+COUNTIFS($C$5:C731,C731,$B$5:B731,"Vendita"),"")</f>
        <v/>
      </c>
      <c r="O731" t="str">
        <f>IF(N731="","",C731&amp;"|"&amp;N731)</f>
        <v/>
      </c>
      <c r="P731" t="str">
        <f>IF(N731="","",IF(N731=1,0,MATCH(C731&amp;"|"&amp;(N731-1),$O$5:$O$1004,0)))</f>
        <v/>
      </c>
      <c r="Q731" t="str">
        <f>IF(N731="","",IF(P731=0,SUMIFS(Calcoli!$C$7:$C$21,Calcoli!$A$7:$A$21,C731),INDEX($S$5:$S$1004,P731)))</f>
        <v/>
      </c>
      <c r="R731" t="str">
        <f>IF(N731="","",IF(P731=0,SUMIFS(Calcoli!$D$7:$D$21,Calcoli!$A$7:$A$21,C731),INDEX($T$5:$T$1004,P731)))</f>
        <v/>
      </c>
      <c r="S731" t="str">
        <f>IF(N731="","",IF(B731="Acquisto",Q731+N(D731),MAX(0,Q731-N(D731))))</f>
        <v/>
      </c>
      <c r="T731" t="str">
        <f>IF(N731="","",IF(B731="Acquisto",R731+J731+N(G731),IF(Q731&lt;=0,0,R731*(1-MIN(1,N(D731)/Q731)))))</f>
        <v/>
      </c>
      <c r="U731" t="str">
        <f>IF(B731&lt;&gt;"Vendita","",J731-N(G731)-IF(Q731&lt;=0,0,R731*MIN(1,N(D731)/Q731)))</f>
        <v/>
      </c>
      <c r="V731" t="str">
        <f>IF(B731&lt;&gt;"Dividendo","",IF(Calcoli!$B$251=1,J731,L731))</f>
        <v/>
      </c>
      <c r="W731" t="str">
        <f>IF(AND(V731&lt;&gt;"",ISNUMBER(A731)),A731,"")</f>
        <v/>
      </c>
    </row>
    <row r="732">
      <c r="A732" s="134" t="n"/>
      <c r="B732" s="116" t="n"/>
      <c r="C732" s="116" t="n"/>
      <c r="D732" s="121" t="n"/>
      <c r="E732" s="120" t="n"/>
      <c r="F732" s="120" t="n"/>
      <c r="G732" s="120" t="n"/>
      <c r="H732" s="120" t="n"/>
      <c r="I732" s="117" t="n"/>
      <c r="J732" s="123" t="str">
        <f>IF(B732="","",IF(F732&lt;&gt;"",N(F732),ROUND(N(D732)*N(E732),2)))</f>
        <v/>
      </c>
      <c r="K732" s="123" t="str">
        <f>IF(B732="","",IF(H732&lt;&gt;"",N(H732),IF(B732="Dividendo",ROUND(J732*IFERROR(INDEX(Calcoli!$V$7:$V$21,MATCH(C732,Calcoli!$A$7:$A$21,0)),0.26),2),IF(B732="Vendita",ROUND(MAX(0,U732)*IFERROR(INDEX(Calcoli!$V$7:$V$21,MATCH(C732,Calcoli!$A$7:$A$21,0)),0.26),2),0))))</f>
        <v/>
      </c>
      <c r="L732" s="135" t="str">
        <f>IF(B732="","",IF(B732="Acquisto",-(J732+N(G732)),J732-N(G732)-K732))</f>
        <v/>
      </c>
      <c r="M732" s="127" t="str">
        <f>IF(B732="","",IF(ISNA(MATCH(C732,ETF!$A$7:$A$21,0)),"ETF?",IF(NOT(ISNUMBER(A732)),"Data?",IF(AND(B732&lt;&gt;"Dividendo",N(D732)&lt;=0),"Quote?",IF(AND(B732="Vendita",N(D732)&gt;N(Q732)+0.000001),"Quote?",IF(J732&lt;=0,"Importo?","✓"))))))</f>
        <v/>
      </c>
      <c r="N732" t="str">
        <f>IF(OR(B732="Acquisto",B732="Vendita"),COUNTIFS($C$5:C732,C732,$B$5:B732,"Acquisto")+COUNTIFS($C$5:C732,C732,$B$5:B732,"Vendita"),"")</f>
        <v/>
      </c>
      <c r="O732" t="str">
        <f>IF(N732="","",C732&amp;"|"&amp;N732)</f>
        <v/>
      </c>
      <c r="P732" t="str">
        <f>IF(N732="","",IF(N732=1,0,MATCH(C732&amp;"|"&amp;(N732-1),$O$5:$O$1004,0)))</f>
        <v/>
      </c>
      <c r="Q732" t="str">
        <f>IF(N732="","",IF(P732=0,SUMIFS(Calcoli!$C$7:$C$21,Calcoli!$A$7:$A$21,C732),INDEX($S$5:$S$1004,P732)))</f>
        <v/>
      </c>
      <c r="R732" t="str">
        <f>IF(N732="","",IF(P732=0,SUMIFS(Calcoli!$D$7:$D$21,Calcoli!$A$7:$A$21,C732),INDEX($T$5:$T$1004,P732)))</f>
        <v/>
      </c>
      <c r="S732" t="str">
        <f>IF(N732="","",IF(B732="Acquisto",Q732+N(D732),MAX(0,Q732-N(D732))))</f>
        <v/>
      </c>
      <c r="T732" t="str">
        <f>IF(N732="","",IF(B732="Acquisto",R732+J732+N(G732),IF(Q732&lt;=0,0,R732*(1-MIN(1,N(D732)/Q732)))))</f>
        <v/>
      </c>
      <c r="U732" t="str">
        <f>IF(B732&lt;&gt;"Vendita","",J732-N(G732)-IF(Q732&lt;=0,0,R732*MIN(1,N(D732)/Q732)))</f>
        <v/>
      </c>
      <c r="V732" t="str">
        <f>IF(B732&lt;&gt;"Dividendo","",IF(Calcoli!$B$251=1,J732,L732))</f>
        <v/>
      </c>
      <c r="W732" t="str">
        <f>IF(AND(V732&lt;&gt;"",ISNUMBER(A732)),A732,"")</f>
        <v/>
      </c>
    </row>
    <row r="733">
      <c r="A733" s="134" t="n"/>
      <c r="B733" s="116" t="n"/>
      <c r="C733" s="116" t="n"/>
      <c r="D733" s="121" t="n"/>
      <c r="E733" s="120" t="n"/>
      <c r="F733" s="120" t="n"/>
      <c r="G733" s="120" t="n"/>
      <c r="H733" s="120" t="n"/>
      <c r="I733" s="117" t="n"/>
      <c r="J733" s="123" t="str">
        <f>IF(B733="","",IF(F733&lt;&gt;"",N(F733),ROUND(N(D733)*N(E733),2)))</f>
        <v/>
      </c>
      <c r="K733" s="123" t="str">
        <f>IF(B733="","",IF(H733&lt;&gt;"",N(H733),IF(B733="Dividendo",ROUND(J733*IFERROR(INDEX(Calcoli!$V$7:$V$21,MATCH(C733,Calcoli!$A$7:$A$21,0)),0.26),2),IF(B733="Vendita",ROUND(MAX(0,U733)*IFERROR(INDEX(Calcoli!$V$7:$V$21,MATCH(C733,Calcoli!$A$7:$A$21,0)),0.26),2),0))))</f>
        <v/>
      </c>
      <c r="L733" s="135" t="str">
        <f>IF(B733="","",IF(B733="Acquisto",-(J733+N(G733)),J733-N(G733)-K733))</f>
        <v/>
      </c>
      <c r="M733" s="127" t="str">
        <f>IF(B733="","",IF(ISNA(MATCH(C733,ETF!$A$7:$A$21,0)),"ETF?",IF(NOT(ISNUMBER(A733)),"Data?",IF(AND(B733&lt;&gt;"Dividendo",N(D733)&lt;=0),"Quote?",IF(AND(B733="Vendita",N(D733)&gt;N(Q733)+0.000001),"Quote?",IF(J733&lt;=0,"Importo?","✓"))))))</f>
        <v/>
      </c>
      <c r="N733" t="str">
        <f>IF(OR(B733="Acquisto",B733="Vendita"),COUNTIFS($C$5:C733,C733,$B$5:B733,"Acquisto")+COUNTIFS($C$5:C733,C733,$B$5:B733,"Vendita"),"")</f>
        <v/>
      </c>
      <c r="O733" t="str">
        <f>IF(N733="","",C733&amp;"|"&amp;N733)</f>
        <v/>
      </c>
      <c r="P733" t="str">
        <f>IF(N733="","",IF(N733=1,0,MATCH(C733&amp;"|"&amp;(N733-1),$O$5:$O$1004,0)))</f>
        <v/>
      </c>
      <c r="Q733" t="str">
        <f>IF(N733="","",IF(P733=0,SUMIFS(Calcoli!$C$7:$C$21,Calcoli!$A$7:$A$21,C733),INDEX($S$5:$S$1004,P733)))</f>
        <v/>
      </c>
      <c r="R733" t="str">
        <f>IF(N733="","",IF(P733=0,SUMIFS(Calcoli!$D$7:$D$21,Calcoli!$A$7:$A$21,C733),INDEX($T$5:$T$1004,P733)))</f>
        <v/>
      </c>
      <c r="S733" t="str">
        <f>IF(N733="","",IF(B733="Acquisto",Q733+N(D733),MAX(0,Q733-N(D733))))</f>
        <v/>
      </c>
      <c r="T733" t="str">
        <f>IF(N733="","",IF(B733="Acquisto",R733+J733+N(G733),IF(Q733&lt;=0,0,R733*(1-MIN(1,N(D733)/Q733)))))</f>
        <v/>
      </c>
      <c r="U733" t="str">
        <f>IF(B733&lt;&gt;"Vendita","",J733-N(G733)-IF(Q733&lt;=0,0,R733*MIN(1,N(D733)/Q733)))</f>
        <v/>
      </c>
      <c r="V733" t="str">
        <f>IF(B733&lt;&gt;"Dividendo","",IF(Calcoli!$B$251=1,J733,L733))</f>
        <v/>
      </c>
      <c r="W733" t="str">
        <f>IF(AND(V733&lt;&gt;"",ISNUMBER(A733)),A733,"")</f>
        <v/>
      </c>
    </row>
    <row r="734">
      <c r="A734" s="134" t="n"/>
      <c r="B734" s="116" t="n"/>
      <c r="C734" s="116" t="n"/>
      <c r="D734" s="121" t="n"/>
      <c r="E734" s="120" t="n"/>
      <c r="F734" s="120" t="n"/>
      <c r="G734" s="120" t="n"/>
      <c r="H734" s="120" t="n"/>
      <c r="I734" s="117" t="n"/>
      <c r="J734" s="123" t="str">
        <f>IF(B734="","",IF(F734&lt;&gt;"",N(F734),ROUND(N(D734)*N(E734),2)))</f>
        <v/>
      </c>
      <c r="K734" s="123" t="str">
        <f>IF(B734="","",IF(H734&lt;&gt;"",N(H734),IF(B734="Dividendo",ROUND(J734*IFERROR(INDEX(Calcoli!$V$7:$V$21,MATCH(C734,Calcoli!$A$7:$A$21,0)),0.26),2),IF(B734="Vendita",ROUND(MAX(0,U734)*IFERROR(INDEX(Calcoli!$V$7:$V$21,MATCH(C734,Calcoli!$A$7:$A$21,0)),0.26),2),0))))</f>
        <v/>
      </c>
      <c r="L734" s="135" t="str">
        <f>IF(B734="","",IF(B734="Acquisto",-(J734+N(G734)),J734-N(G734)-K734))</f>
        <v/>
      </c>
      <c r="M734" s="127" t="str">
        <f>IF(B734="","",IF(ISNA(MATCH(C734,ETF!$A$7:$A$21,0)),"ETF?",IF(NOT(ISNUMBER(A734)),"Data?",IF(AND(B734&lt;&gt;"Dividendo",N(D734)&lt;=0),"Quote?",IF(AND(B734="Vendita",N(D734)&gt;N(Q734)+0.000001),"Quote?",IF(J734&lt;=0,"Importo?","✓"))))))</f>
        <v/>
      </c>
      <c r="N734" t="str">
        <f>IF(OR(B734="Acquisto",B734="Vendita"),COUNTIFS($C$5:C734,C734,$B$5:B734,"Acquisto")+COUNTIFS($C$5:C734,C734,$B$5:B734,"Vendita"),"")</f>
        <v/>
      </c>
      <c r="O734" t="str">
        <f>IF(N734="","",C734&amp;"|"&amp;N734)</f>
        <v/>
      </c>
      <c r="P734" t="str">
        <f>IF(N734="","",IF(N734=1,0,MATCH(C734&amp;"|"&amp;(N734-1),$O$5:$O$1004,0)))</f>
        <v/>
      </c>
      <c r="Q734" t="str">
        <f>IF(N734="","",IF(P734=0,SUMIFS(Calcoli!$C$7:$C$21,Calcoli!$A$7:$A$21,C734),INDEX($S$5:$S$1004,P734)))</f>
        <v/>
      </c>
      <c r="R734" t="str">
        <f>IF(N734="","",IF(P734=0,SUMIFS(Calcoli!$D$7:$D$21,Calcoli!$A$7:$A$21,C734),INDEX($T$5:$T$1004,P734)))</f>
        <v/>
      </c>
      <c r="S734" t="str">
        <f>IF(N734="","",IF(B734="Acquisto",Q734+N(D734),MAX(0,Q734-N(D734))))</f>
        <v/>
      </c>
      <c r="T734" t="str">
        <f>IF(N734="","",IF(B734="Acquisto",R734+J734+N(G734),IF(Q734&lt;=0,0,R734*(1-MIN(1,N(D734)/Q734)))))</f>
        <v/>
      </c>
      <c r="U734" t="str">
        <f>IF(B734&lt;&gt;"Vendita","",J734-N(G734)-IF(Q734&lt;=0,0,R734*MIN(1,N(D734)/Q734)))</f>
        <v/>
      </c>
      <c r="V734" t="str">
        <f>IF(B734&lt;&gt;"Dividendo","",IF(Calcoli!$B$251=1,J734,L734))</f>
        <v/>
      </c>
      <c r="W734" t="str">
        <f>IF(AND(V734&lt;&gt;"",ISNUMBER(A734)),A734,"")</f>
        <v/>
      </c>
    </row>
    <row r="735">
      <c r="A735" s="134" t="n"/>
      <c r="B735" s="116" t="n"/>
      <c r="C735" s="116" t="n"/>
      <c r="D735" s="121" t="n"/>
      <c r="E735" s="120" t="n"/>
      <c r="F735" s="120" t="n"/>
      <c r="G735" s="120" t="n"/>
      <c r="H735" s="120" t="n"/>
      <c r="I735" s="117" t="n"/>
      <c r="J735" s="123" t="str">
        <f>IF(B735="","",IF(F735&lt;&gt;"",N(F735),ROUND(N(D735)*N(E735),2)))</f>
        <v/>
      </c>
      <c r="K735" s="123" t="str">
        <f>IF(B735="","",IF(H735&lt;&gt;"",N(H735),IF(B735="Dividendo",ROUND(J735*IFERROR(INDEX(Calcoli!$V$7:$V$21,MATCH(C735,Calcoli!$A$7:$A$21,0)),0.26),2),IF(B735="Vendita",ROUND(MAX(0,U735)*IFERROR(INDEX(Calcoli!$V$7:$V$21,MATCH(C735,Calcoli!$A$7:$A$21,0)),0.26),2),0))))</f>
        <v/>
      </c>
      <c r="L735" s="135" t="str">
        <f>IF(B735="","",IF(B735="Acquisto",-(J735+N(G735)),J735-N(G735)-K735))</f>
        <v/>
      </c>
      <c r="M735" s="127" t="str">
        <f>IF(B735="","",IF(ISNA(MATCH(C735,ETF!$A$7:$A$21,0)),"ETF?",IF(NOT(ISNUMBER(A735)),"Data?",IF(AND(B735&lt;&gt;"Dividendo",N(D735)&lt;=0),"Quote?",IF(AND(B735="Vendita",N(D735)&gt;N(Q735)+0.000001),"Quote?",IF(J735&lt;=0,"Importo?","✓"))))))</f>
        <v/>
      </c>
      <c r="N735" t="str">
        <f>IF(OR(B735="Acquisto",B735="Vendita"),COUNTIFS($C$5:C735,C735,$B$5:B735,"Acquisto")+COUNTIFS($C$5:C735,C735,$B$5:B735,"Vendita"),"")</f>
        <v/>
      </c>
      <c r="O735" t="str">
        <f>IF(N735="","",C735&amp;"|"&amp;N735)</f>
        <v/>
      </c>
      <c r="P735" t="str">
        <f>IF(N735="","",IF(N735=1,0,MATCH(C735&amp;"|"&amp;(N735-1),$O$5:$O$1004,0)))</f>
        <v/>
      </c>
      <c r="Q735" t="str">
        <f>IF(N735="","",IF(P735=0,SUMIFS(Calcoli!$C$7:$C$21,Calcoli!$A$7:$A$21,C735),INDEX($S$5:$S$1004,P735)))</f>
        <v/>
      </c>
      <c r="R735" t="str">
        <f>IF(N735="","",IF(P735=0,SUMIFS(Calcoli!$D$7:$D$21,Calcoli!$A$7:$A$21,C735),INDEX($T$5:$T$1004,P735)))</f>
        <v/>
      </c>
      <c r="S735" t="str">
        <f>IF(N735="","",IF(B735="Acquisto",Q735+N(D735),MAX(0,Q735-N(D735))))</f>
        <v/>
      </c>
      <c r="T735" t="str">
        <f>IF(N735="","",IF(B735="Acquisto",R735+J735+N(G735),IF(Q735&lt;=0,0,R735*(1-MIN(1,N(D735)/Q735)))))</f>
        <v/>
      </c>
      <c r="U735" t="str">
        <f>IF(B735&lt;&gt;"Vendita","",J735-N(G735)-IF(Q735&lt;=0,0,R735*MIN(1,N(D735)/Q735)))</f>
        <v/>
      </c>
      <c r="V735" t="str">
        <f>IF(B735&lt;&gt;"Dividendo","",IF(Calcoli!$B$251=1,J735,L735))</f>
        <v/>
      </c>
      <c r="W735" t="str">
        <f>IF(AND(V735&lt;&gt;"",ISNUMBER(A735)),A735,"")</f>
        <v/>
      </c>
    </row>
    <row r="736">
      <c r="A736" s="134" t="n"/>
      <c r="B736" s="116" t="n"/>
      <c r="C736" s="116" t="n"/>
      <c r="D736" s="121" t="n"/>
      <c r="E736" s="120" t="n"/>
      <c r="F736" s="120" t="n"/>
      <c r="G736" s="120" t="n"/>
      <c r="H736" s="120" t="n"/>
      <c r="I736" s="117" t="n"/>
      <c r="J736" s="123" t="str">
        <f>IF(B736="","",IF(F736&lt;&gt;"",N(F736),ROUND(N(D736)*N(E736),2)))</f>
        <v/>
      </c>
      <c r="K736" s="123" t="str">
        <f>IF(B736="","",IF(H736&lt;&gt;"",N(H736),IF(B736="Dividendo",ROUND(J736*IFERROR(INDEX(Calcoli!$V$7:$V$21,MATCH(C736,Calcoli!$A$7:$A$21,0)),0.26),2),IF(B736="Vendita",ROUND(MAX(0,U736)*IFERROR(INDEX(Calcoli!$V$7:$V$21,MATCH(C736,Calcoli!$A$7:$A$21,0)),0.26),2),0))))</f>
        <v/>
      </c>
      <c r="L736" s="135" t="str">
        <f>IF(B736="","",IF(B736="Acquisto",-(J736+N(G736)),J736-N(G736)-K736))</f>
        <v/>
      </c>
      <c r="M736" s="127" t="str">
        <f>IF(B736="","",IF(ISNA(MATCH(C736,ETF!$A$7:$A$21,0)),"ETF?",IF(NOT(ISNUMBER(A736)),"Data?",IF(AND(B736&lt;&gt;"Dividendo",N(D736)&lt;=0),"Quote?",IF(AND(B736="Vendita",N(D736)&gt;N(Q736)+0.000001),"Quote?",IF(J736&lt;=0,"Importo?","✓"))))))</f>
        <v/>
      </c>
      <c r="N736" t="str">
        <f>IF(OR(B736="Acquisto",B736="Vendita"),COUNTIFS($C$5:C736,C736,$B$5:B736,"Acquisto")+COUNTIFS($C$5:C736,C736,$B$5:B736,"Vendita"),"")</f>
        <v/>
      </c>
      <c r="O736" t="str">
        <f>IF(N736="","",C736&amp;"|"&amp;N736)</f>
        <v/>
      </c>
      <c r="P736" t="str">
        <f>IF(N736="","",IF(N736=1,0,MATCH(C736&amp;"|"&amp;(N736-1),$O$5:$O$1004,0)))</f>
        <v/>
      </c>
      <c r="Q736" t="str">
        <f>IF(N736="","",IF(P736=0,SUMIFS(Calcoli!$C$7:$C$21,Calcoli!$A$7:$A$21,C736),INDEX($S$5:$S$1004,P736)))</f>
        <v/>
      </c>
      <c r="R736" t="str">
        <f>IF(N736="","",IF(P736=0,SUMIFS(Calcoli!$D$7:$D$21,Calcoli!$A$7:$A$21,C736),INDEX($T$5:$T$1004,P736)))</f>
        <v/>
      </c>
      <c r="S736" t="str">
        <f>IF(N736="","",IF(B736="Acquisto",Q736+N(D736),MAX(0,Q736-N(D736))))</f>
        <v/>
      </c>
      <c r="T736" t="str">
        <f>IF(N736="","",IF(B736="Acquisto",R736+J736+N(G736),IF(Q736&lt;=0,0,R736*(1-MIN(1,N(D736)/Q736)))))</f>
        <v/>
      </c>
      <c r="U736" t="str">
        <f>IF(B736&lt;&gt;"Vendita","",J736-N(G736)-IF(Q736&lt;=0,0,R736*MIN(1,N(D736)/Q736)))</f>
        <v/>
      </c>
      <c r="V736" t="str">
        <f>IF(B736&lt;&gt;"Dividendo","",IF(Calcoli!$B$251=1,J736,L736))</f>
        <v/>
      </c>
      <c r="W736" t="str">
        <f>IF(AND(V736&lt;&gt;"",ISNUMBER(A736)),A736,"")</f>
        <v/>
      </c>
    </row>
    <row r="737">
      <c r="A737" s="134" t="n"/>
      <c r="B737" s="116" t="n"/>
      <c r="C737" s="116" t="n"/>
      <c r="D737" s="121" t="n"/>
      <c r="E737" s="120" t="n"/>
      <c r="F737" s="120" t="n"/>
      <c r="G737" s="120" t="n"/>
      <c r="H737" s="120" t="n"/>
      <c r="I737" s="117" t="n"/>
      <c r="J737" s="123" t="str">
        <f>IF(B737="","",IF(F737&lt;&gt;"",N(F737),ROUND(N(D737)*N(E737),2)))</f>
        <v/>
      </c>
      <c r="K737" s="123" t="str">
        <f>IF(B737="","",IF(H737&lt;&gt;"",N(H737),IF(B737="Dividendo",ROUND(J737*IFERROR(INDEX(Calcoli!$V$7:$V$21,MATCH(C737,Calcoli!$A$7:$A$21,0)),0.26),2),IF(B737="Vendita",ROUND(MAX(0,U737)*IFERROR(INDEX(Calcoli!$V$7:$V$21,MATCH(C737,Calcoli!$A$7:$A$21,0)),0.26),2),0))))</f>
        <v/>
      </c>
      <c r="L737" s="135" t="str">
        <f>IF(B737="","",IF(B737="Acquisto",-(J737+N(G737)),J737-N(G737)-K737))</f>
        <v/>
      </c>
      <c r="M737" s="127" t="str">
        <f>IF(B737="","",IF(ISNA(MATCH(C737,ETF!$A$7:$A$21,0)),"ETF?",IF(NOT(ISNUMBER(A737)),"Data?",IF(AND(B737&lt;&gt;"Dividendo",N(D737)&lt;=0),"Quote?",IF(AND(B737="Vendita",N(D737)&gt;N(Q737)+0.000001),"Quote?",IF(J737&lt;=0,"Importo?","✓"))))))</f>
        <v/>
      </c>
      <c r="N737" t="str">
        <f>IF(OR(B737="Acquisto",B737="Vendita"),COUNTIFS($C$5:C737,C737,$B$5:B737,"Acquisto")+COUNTIFS($C$5:C737,C737,$B$5:B737,"Vendita"),"")</f>
        <v/>
      </c>
      <c r="O737" t="str">
        <f>IF(N737="","",C737&amp;"|"&amp;N737)</f>
        <v/>
      </c>
      <c r="P737" t="str">
        <f>IF(N737="","",IF(N737=1,0,MATCH(C737&amp;"|"&amp;(N737-1),$O$5:$O$1004,0)))</f>
        <v/>
      </c>
      <c r="Q737" t="str">
        <f>IF(N737="","",IF(P737=0,SUMIFS(Calcoli!$C$7:$C$21,Calcoli!$A$7:$A$21,C737),INDEX($S$5:$S$1004,P737)))</f>
        <v/>
      </c>
      <c r="R737" t="str">
        <f>IF(N737="","",IF(P737=0,SUMIFS(Calcoli!$D$7:$D$21,Calcoli!$A$7:$A$21,C737),INDEX($T$5:$T$1004,P737)))</f>
        <v/>
      </c>
      <c r="S737" t="str">
        <f>IF(N737="","",IF(B737="Acquisto",Q737+N(D737),MAX(0,Q737-N(D737))))</f>
        <v/>
      </c>
      <c r="T737" t="str">
        <f>IF(N737="","",IF(B737="Acquisto",R737+J737+N(G737),IF(Q737&lt;=0,0,R737*(1-MIN(1,N(D737)/Q737)))))</f>
        <v/>
      </c>
      <c r="U737" t="str">
        <f>IF(B737&lt;&gt;"Vendita","",J737-N(G737)-IF(Q737&lt;=0,0,R737*MIN(1,N(D737)/Q737)))</f>
        <v/>
      </c>
      <c r="V737" t="str">
        <f>IF(B737&lt;&gt;"Dividendo","",IF(Calcoli!$B$251=1,J737,L737))</f>
        <v/>
      </c>
      <c r="W737" t="str">
        <f>IF(AND(V737&lt;&gt;"",ISNUMBER(A737)),A737,"")</f>
        <v/>
      </c>
    </row>
    <row r="738">
      <c r="A738" s="134" t="n"/>
      <c r="B738" s="116" t="n"/>
      <c r="C738" s="116" t="n"/>
      <c r="D738" s="121" t="n"/>
      <c r="E738" s="120" t="n"/>
      <c r="F738" s="120" t="n"/>
      <c r="G738" s="120" t="n"/>
      <c r="H738" s="120" t="n"/>
      <c r="I738" s="117" t="n"/>
      <c r="J738" s="123" t="str">
        <f>IF(B738="","",IF(F738&lt;&gt;"",N(F738),ROUND(N(D738)*N(E738),2)))</f>
        <v/>
      </c>
      <c r="K738" s="123" t="str">
        <f>IF(B738="","",IF(H738&lt;&gt;"",N(H738),IF(B738="Dividendo",ROUND(J738*IFERROR(INDEX(Calcoli!$V$7:$V$21,MATCH(C738,Calcoli!$A$7:$A$21,0)),0.26),2),IF(B738="Vendita",ROUND(MAX(0,U738)*IFERROR(INDEX(Calcoli!$V$7:$V$21,MATCH(C738,Calcoli!$A$7:$A$21,0)),0.26),2),0))))</f>
        <v/>
      </c>
      <c r="L738" s="135" t="str">
        <f>IF(B738="","",IF(B738="Acquisto",-(J738+N(G738)),J738-N(G738)-K738))</f>
        <v/>
      </c>
      <c r="M738" s="127" t="str">
        <f>IF(B738="","",IF(ISNA(MATCH(C738,ETF!$A$7:$A$21,0)),"ETF?",IF(NOT(ISNUMBER(A738)),"Data?",IF(AND(B738&lt;&gt;"Dividendo",N(D738)&lt;=0),"Quote?",IF(AND(B738="Vendita",N(D738)&gt;N(Q738)+0.000001),"Quote?",IF(J738&lt;=0,"Importo?","✓"))))))</f>
        <v/>
      </c>
      <c r="N738" t="str">
        <f>IF(OR(B738="Acquisto",B738="Vendita"),COUNTIFS($C$5:C738,C738,$B$5:B738,"Acquisto")+COUNTIFS($C$5:C738,C738,$B$5:B738,"Vendita"),"")</f>
        <v/>
      </c>
      <c r="O738" t="str">
        <f>IF(N738="","",C738&amp;"|"&amp;N738)</f>
        <v/>
      </c>
      <c r="P738" t="str">
        <f>IF(N738="","",IF(N738=1,0,MATCH(C738&amp;"|"&amp;(N738-1),$O$5:$O$1004,0)))</f>
        <v/>
      </c>
      <c r="Q738" t="str">
        <f>IF(N738="","",IF(P738=0,SUMIFS(Calcoli!$C$7:$C$21,Calcoli!$A$7:$A$21,C738),INDEX($S$5:$S$1004,P738)))</f>
        <v/>
      </c>
      <c r="R738" t="str">
        <f>IF(N738="","",IF(P738=0,SUMIFS(Calcoli!$D$7:$D$21,Calcoli!$A$7:$A$21,C738),INDEX($T$5:$T$1004,P738)))</f>
        <v/>
      </c>
      <c r="S738" t="str">
        <f>IF(N738="","",IF(B738="Acquisto",Q738+N(D738),MAX(0,Q738-N(D738))))</f>
        <v/>
      </c>
      <c r="T738" t="str">
        <f>IF(N738="","",IF(B738="Acquisto",R738+J738+N(G738),IF(Q738&lt;=0,0,R738*(1-MIN(1,N(D738)/Q738)))))</f>
        <v/>
      </c>
      <c r="U738" t="str">
        <f>IF(B738&lt;&gt;"Vendita","",J738-N(G738)-IF(Q738&lt;=0,0,R738*MIN(1,N(D738)/Q738)))</f>
        <v/>
      </c>
      <c r="V738" t="str">
        <f>IF(B738&lt;&gt;"Dividendo","",IF(Calcoli!$B$251=1,J738,L738))</f>
        <v/>
      </c>
      <c r="W738" t="str">
        <f>IF(AND(V738&lt;&gt;"",ISNUMBER(A738)),A738,"")</f>
        <v/>
      </c>
    </row>
    <row r="739">
      <c r="A739" s="134" t="n"/>
      <c r="B739" s="116" t="n"/>
      <c r="C739" s="116" t="n"/>
      <c r="D739" s="121" t="n"/>
      <c r="E739" s="120" t="n"/>
      <c r="F739" s="120" t="n"/>
      <c r="G739" s="120" t="n"/>
      <c r="H739" s="120" t="n"/>
      <c r="I739" s="117" t="n"/>
      <c r="J739" s="123" t="str">
        <f>IF(B739="","",IF(F739&lt;&gt;"",N(F739),ROUND(N(D739)*N(E739),2)))</f>
        <v/>
      </c>
      <c r="K739" s="123" t="str">
        <f>IF(B739="","",IF(H739&lt;&gt;"",N(H739),IF(B739="Dividendo",ROUND(J739*IFERROR(INDEX(Calcoli!$V$7:$V$21,MATCH(C739,Calcoli!$A$7:$A$21,0)),0.26),2),IF(B739="Vendita",ROUND(MAX(0,U739)*IFERROR(INDEX(Calcoli!$V$7:$V$21,MATCH(C739,Calcoli!$A$7:$A$21,0)),0.26),2),0))))</f>
        <v/>
      </c>
      <c r="L739" s="135" t="str">
        <f>IF(B739="","",IF(B739="Acquisto",-(J739+N(G739)),J739-N(G739)-K739))</f>
        <v/>
      </c>
      <c r="M739" s="127" t="str">
        <f>IF(B739="","",IF(ISNA(MATCH(C739,ETF!$A$7:$A$21,0)),"ETF?",IF(NOT(ISNUMBER(A739)),"Data?",IF(AND(B739&lt;&gt;"Dividendo",N(D739)&lt;=0),"Quote?",IF(AND(B739="Vendita",N(D739)&gt;N(Q739)+0.000001),"Quote?",IF(J739&lt;=0,"Importo?","✓"))))))</f>
        <v/>
      </c>
      <c r="N739" t="str">
        <f>IF(OR(B739="Acquisto",B739="Vendita"),COUNTIFS($C$5:C739,C739,$B$5:B739,"Acquisto")+COUNTIFS($C$5:C739,C739,$B$5:B739,"Vendita"),"")</f>
        <v/>
      </c>
      <c r="O739" t="str">
        <f>IF(N739="","",C739&amp;"|"&amp;N739)</f>
        <v/>
      </c>
      <c r="P739" t="str">
        <f>IF(N739="","",IF(N739=1,0,MATCH(C739&amp;"|"&amp;(N739-1),$O$5:$O$1004,0)))</f>
        <v/>
      </c>
      <c r="Q739" t="str">
        <f>IF(N739="","",IF(P739=0,SUMIFS(Calcoli!$C$7:$C$21,Calcoli!$A$7:$A$21,C739),INDEX($S$5:$S$1004,P739)))</f>
        <v/>
      </c>
      <c r="R739" t="str">
        <f>IF(N739="","",IF(P739=0,SUMIFS(Calcoli!$D$7:$D$21,Calcoli!$A$7:$A$21,C739),INDEX($T$5:$T$1004,P739)))</f>
        <v/>
      </c>
      <c r="S739" t="str">
        <f>IF(N739="","",IF(B739="Acquisto",Q739+N(D739),MAX(0,Q739-N(D739))))</f>
        <v/>
      </c>
      <c r="T739" t="str">
        <f>IF(N739="","",IF(B739="Acquisto",R739+J739+N(G739),IF(Q739&lt;=0,0,R739*(1-MIN(1,N(D739)/Q739)))))</f>
        <v/>
      </c>
      <c r="U739" t="str">
        <f>IF(B739&lt;&gt;"Vendita","",J739-N(G739)-IF(Q739&lt;=0,0,R739*MIN(1,N(D739)/Q739)))</f>
        <v/>
      </c>
      <c r="V739" t="str">
        <f>IF(B739&lt;&gt;"Dividendo","",IF(Calcoli!$B$251=1,J739,L739))</f>
        <v/>
      </c>
      <c r="W739" t="str">
        <f>IF(AND(V739&lt;&gt;"",ISNUMBER(A739)),A739,"")</f>
        <v/>
      </c>
    </row>
    <row r="740">
      <c r="A740" s="134" t="n"/>
      <c r="B740" s="116" t="n"/>
      <c r="C740" s="116" t="n"/>
      <c r="D740" s="121" t="n"/>
      <c r="E740" s="120" t="n"/>
      <c r="F740" s="120" t="n"/>
      <c r="G740" s="120" t="n"/>
      <c r="H740" s="120" t="n"/>
      <c r="I740" s="117" t="n"/>
      <c r="J740" s="123" t="str">
        <f>IF(B740="","",IF(F740&lt;&gt;"",N(F740),ROUND(N(D740)*N(E740),2)))</f>
        <v/>
      </c>
      <c r="K740" s="123" t="str">
        <f>IF(B740="","",IF(H740&lt;&gt;"",N(H740),IF(B740="Dividendo",ROUND(J740*IFERROR(INDEX(Calcoli!$V$7:$V$21,MATCH(C740,Calcoli!$A$7:$A$21,0)),0.26),2),IF(B740="Vendita",ROUND(MAX(0,U740)*IFERROR(INDEX(Calcoli!$V$7:$V$21,MATCH(C740,Calcoli!$A$7:$A$21,0)),0.26),2),0))))</f>
        <v/>
      </c>
      <c r="L740" s="135" t="str">
        <f>IF(B740="","",IF(B740="Acquisto",-(J740+N(G740)),J740-N(G740)-K740))</f>
        <v/>
      </c>
      <c r="M740" s="127" t="str">
        <f>IF(B740="","",IF(ISNA(MATCH(C740,ETF!$A$7:$A$21,0)),"ETF?",IF(NOT(ISNUMBER(A740)),"Data?",IF(AND(B740&lt;&gt;"Dividendo",N(D740)&lt;=0),"Quote?",IF(AND(B740="Vendita",N(D740)&gt;N(Q740)+0.000001),"Quote?",IF(J740&lt;=0,"Importo?","✓"))))))</f>
        <v/>
      </c>
      <c r="N740" t="str">
        <f>IF(OR(B740="Acquisto",B740="Vendita"),COUNTIFS($C$5:C740,C740,$B$5:B740,"Acquisto")+COUNTIFS($C$5:C740,C740,$B$5:B740,"Vendita"),"")</f>
        <v/>
      </c>
      <c r="O740" t="str">
        <f>IF(N740="","",C740&amp;"|"&amp;N740)</f>
        <v/>
      </c>
      <c r="P740" t="str">
        <f>IF(N740="","",IF(N740=1,0,MATCH(C740&amp;"|"&amp;(N740-1),$O$5:$O$1004,0)))</f>
        <v/>
      </c>
      <c r="Q740" t="str">
        <f>IF(N740="","",IF(P740=0,SUMIFS(Calcoli!$C$7:$C$21,Calcoli!$A$7:$A$21,C740),INDEX($S$5:$S$1004,P740)))</f>
        <v/>
      </c>
      <c r="R740" t="str">
        <f>IF(N740="","",IF(P740=0,SUMIFS(Calcoli!$D$7:$D$21,Calcoli!$A$7:$A$21,C740),INDEX($T$5:$T$1004,P740)))</f>
        <v/>
      </c>
      <c r="S740" t="str">
        <f>IF(N740="","",IF(B740="Acquisto",Q740+N(D740),MAX(0,Q740-N(D740))))</f>
        <v/>
      </c>
      <c r="T740" t="str">
        <f>IF(N740="","",IF(B740="Acquisto",R740+J740+N(G740),IF(Q740&lt;=0,0,R740*(1-MIN(1,N(D740)/Q740)))))</f>
        <v/>
      </c>
      <c r="U740" t="str">
        <f>IF(B740&lt;&gt;"Vendita","",J740-N(G740)-IF(Q740&lt;=0,0,R740*MIN(1,N(D740)/Q740)))</f>
        <v/>
      </c>
      <c r="V740" t="str">
        <f>IF(B740&lt;&gt;"Dividendo","",IF(Calcoli!$B$251=1,J740,L740))</f>
        <v/>
      </c>
      <c r="W740" t="str">
        <f>IF(AND(V740&lt;&gt;"",ISNUMBER(A740)),A740,"")</f>
        <v/>
      </c>
    </row>
    <row r="741">
      <c r="A741" s="134" t="n"/>
      <c r="B741" s="116" t="n"/>
      <c r="C741" s="116" t="n"/>
      <c r="D741" s="121" t="n"/>
      <c r="E741" s="120" t="n"/>
      <c r="F741" s="120" t="n"/>
      <c r="G741" s="120" t="n"/>
      <c r="H741" s="120" t="n"/>
      <c r="I741" s="117" t="n"/>
      <c r="J741" s="123" t="str">
        <f>IF(B741="","",IF(F741&lt;&gt;"",N(F741),ROUND(N(D741)*N(E741),2)))</f>
        <v/>
      </c>
      <c r="K741" s="123" t="str">
        <f>IF(B741="","",IF(H741&lt;&gt;"",N(H741),IF(B741="Dividendo",ROUND(J741*IFERROR(INDEX(Calcoli!$V$7:$V$21,MATCH(C741,Calcoli!$A$7:$A$21,0)),0.26),2),IF(B741="Vendita",ROUND(MAX(0,U741)*IFERROR(INDEX(Calcoli!$V$7:$V$21,MATCH(C741,Calcoli!$A$7:$A$21,0)),0.26),2),0))))</f>
        <v/>
      </c>
      <c r="L741" s="135" t="str">
        <f>IF(B741="","",IF(B741="Acquisto",-(J741+N(G741)),J741-N(G741)-K741))</f>
        <v/>
      </c>
      <c r="M741" s="127" t="str">
        <f>IF(B741="","",IF(ISNA(MATCH(C741,ETF!$A$7:$A$21,0)),"ETF?",IF(NOT(ISNUMBER(A741)),"Data?",IF(AND(B741&lt;&gt;"Dividendo",N(D741)&lt;=0),"Quote?",IF(AND(B741="Vendita",N(D741)&gt;N(Q741)+0.000001),"Quote?",IF(J741&lt;=0,"Importo?","✓"))))))</f>
        <v/>
      </c>
      <c r="N741" t="str">
        <f>IF(OR(B741="Acquisto",B741="Vendita"),COUNTIFS($C$5:C741,C741,$B$5:B741,"Acquisto")+COUNTIFS($C$5:C741,C741,$B$5:B741,"Vendita"),"")</f>
        <v/>
      </c>
      <c r="O741" t="str">
        <f>IF(N741="","",C741&amp;"|"&amp;N741)</f>
        <v/>
      </c>
      <c r="P741" t="str">
        <f>IF(N741="","",IF(N741=1,0,MATCH(C741&amp;"|"&amp;(N741-1),$O$5:$O$1004,0)))</f>
        <v/>
      </c>
      <c r="Q741" t="str">
        <f>IF(N741="","",IF(P741=0,SUMIFS(Calcoli!$C$7:$C$21,Calcoli!$A$7:$A$21,C741),INDEX($S$5:$S$1004,P741)))</f>
        <v/>
      </c>
      <c r="R741" t="str">
        <f>IF(N741="","",IF(P741=0,SUMIFS(Calcoli!$D$7:$D$21,Calcoli!$A$7:$A$21,C741),INDEX($T$5:$T$1004,P741)))</f>
        <v/>
      </c>
      <c r="S741" t="str">
        <f>IF(N741="","",IF(B741="Acquisto",Q741+N(D741),MAX(0,Q741-N(D741))))</f>
        <v/>
      </c>
      <c r="T741" t="str">
        <f>IF(N741="","",IF(B741="Acquisto",R741+J741+N(G741),IF(Q741&lt;=0,0,R741*(1-MIN(1,N(D741)/Q741)))))</f>
        <v/>
      </c>
      <c r="U741" t="str">
        <f>IF(B741&lt;&gt;"Vendita","",J741-N(G741)-IF(Q741&lt;=0,0,R741*MIN(1,N(D741)/Q741)))</f>
        <v/>
      </c>
      <c r="V741" t="str">
        <f>IF(B741&lt;&gt;"Dividendo","",IF(Calcoli!$B$251=1,J741,L741))</f>
        <v/>
      </c>
      <c r="W741" t="str">
        <f>IF(AND(V741&lt;&gt;"",ISNUMBER(A741)),A741,"")</f>
        <v/>
      </c>
    </row>
    <row r="742">
      <c r="A742" s="134" t="n"/>
      <c r="B742" s="116" t="n"/>
      <c r="C742" s="116" t="n"/>
      <c r="D742" s="121" t="n"/>
      <c r="E742" s="120" t="n"/>
      <c r="F742" s="120" t="n"/>
      <c r="G742" s="120" t="n"/>
      <c r="H742" s="120" t="n"/>
      <c r="I742" s="117" t="n"/>
      <c r="J742" s="123" t="str">
        <f>IF(B742="","",IF(F742&lt;&gt;"",N(F742),ROUND(N(D742)*N(E742),2)))</f>
        <v/>
      </c>
      <c r="K742" s="123" t="str">
        <f>IF(B742="","",IF(H742&lt;&gt;"",N(H742),IF(B742="Dividendo",ROUND(J742*IFERROR(INDEX(Calcoli!$V$7:$V$21,MATCH(C742,Calcoli!$A$7:$A$21,0)),0.26),2),IF(B742="Vendita",ROUND(MAX(0,U742)*IFERROR(INDEX(Calcoli!$V$7:$V$21,MATCH(C742,Calcoli!$A$7:$A$21,0)),0.26),2),0))))</f>
        <v/>
      </c>
      <c r="L742" s="135" t="str">
        <f>IF(B742="","",IF(B742="Acquisto",-(J742+N(G742)),J742-N(G742)-K742))</f>
        <v/>
      </c>
      <c r="M742" s="127" t="str">
        <f>IF(B742="","",IF(ISNA(MATCH(C742,ETF!$A$7:$A$21,0)),"ETF?",IF(NOT(ISNUMBER(A742)),"Data?",IF(AND(B742&lt;&gt;"Dividendo",N(D742)&lt;=0),"Quote?",IF(AND(B742="Vendita",N(D742)&gt;N(Q742)+0.000001),"Quote?",IF(J742&lt;=0,"Importo?","✓"))))))</f>
        <v/>
      </c>
      <c r="N742" t="str">
        <f>IF(OR(B742="Acquisto",B742="Vendita"),COUNTIFS($C$5:C742,C742,$B$5:B742,"Acquisto")+COUNTIFS($C$5:C742,C742,$B$5:B742,"Vendita"),"")</f>
        <v/>
      </c>
      <c r="O742" t="str">
        <f>IF(N742="","",C742&amp;"|"&amp;N742)</f>
        <v/>
      </c>
      <c r="P742" t="str">
        <f>IF(N742="","",IF(N742=1,0,MATCH(C742&amp;"|"&amp;(N742-1),$O$5:$O$1004,0)))</f>
        <v/>
      </c>
      <c r="Q742" t="str">
        <f>IF(N742="","",IF(P742=0,SUMIFS(Calcoli!$C$7:$C$21,Calcoli!$A$7:$A$21,C742),INDEX($S$5:$S$1004,P742)))</f>
        <v/>
      </c>
      <c r="R742" t="str">
        <f>IF(N742="","",IF(P742=0,SUMIFS(Calcoli!$D$7:$D$21,Calcoli!$A$7:$A$21,C742),INDEX($T$5:$T$1004,P742)))</f>
        <v/>
      </c>
      <c r="S742" t="str">
        <f>IF(N742="","",IF(B742="Acquisto",Q742+N(D742),MAX(0,Q742-N(D742))))</f>
        <v/>
      </c>
      <c r="T742" t="str">
        <f>IF(N742="","",IF(B742="Acquisto",R742+J742+N(G742),IF(Q742&lt;=0,0,R742*(1-MIN(1,N(D742)/Q742)))))</f>
        <v/>
      </c>
      <c r="U742" t="str">
        <f>IF(B742&lt;&gt;"Vendita","",J742-N(G742)-IF(Q742&lt;=0,0,R742*MIN(1,N(D742)/Q742)))</f>
        <v/>
      </c>
      <c r="V742" t="str">
        <f>IF(B742&lt;&gt;"Dividendo","",IF(Calcoli!$B$251=1,J742,L742))</f>
        <v/>
      </c>
      <c r="W742" t="str">
        <f>IF(AND(V742&lt;&gt;"",ISNUMBER(A742)),A742,"")</f>
        <v/>
      </c>
    </row>
    <row r="743">
      <c r="A743" s="134" t="n"/>
      <c r="B743" s="116" t="n"/>
      <c r="C743" s="116" t="n"/>
      <c r="D743" s="121" t="n"/>
      <c r="E743" s="120" t="n"/>
      <c r="F743" s="120" t="n"/>
      <c r="G743" s="120" t="n"/>
      <c r="H743" s="120" t="n"/>
      <c r="I743" s="117" t="n"/>
      <c r="J743" s="123" t="str">
        <f>IF(B743="","",IF(F743&lt;&gt;"",N(F743),ROUND(N(D743)*N(E743),2)))</f>
        <v/>
      </c>
      <c r="K743" s="123" t="str">
        <f>IF(B743="","",IF(H743&lt;&gt;"",N(H743),IF(B743="Dividendo",ROUND(J743*IFERROR(INDEX(Calcoli!$V$7:$V$21,MATCH(C743,Calcoli!$A$7:$A$21,0)),0.26),2),IF(B743="Vendita",ROUND(MAX(0,U743)*IFERROR(INDEX(Calcoli!$V$7:$V$21,MATCH(C743,Calcoli!$A$7:$A$21,0)),0.26),2),0))))</f>
        <v/>
      </c>
      <c r="L743" s="135" t="str">
        <f>IF(B743="","",IF(B743="Acquisto",-(J743+N(G743)),J743-N(G743)-K743))</f>
        <v/>
      </c>
      <c r="M743" s="127" t="str">
        <f>IF(B743="","",IF(ISNA(MATCH(C743,ETF!$A$7:$A$21,0)),"ETF?",IF(NOT(ISNUMBER(A743)),"Data?",IF(AND(B743&lt;&gt;"Dividendo",N(D743)&lt;=0),"Quote?",IF(AND(B743="Vendita",N(D743)&gt;N(Q743)+0.000001),"Quote?",IF(J743&lt;=0,"Importo?","✓"))))))</f>
        <v/>
      </c>
      <c r="N743" t="str">
        <f>IF(OR(B743="Acquisto",B743="Vendita"),COUNTIFS($C$5:C743,C743,$B$5:B743,"Acquisto")+COUNTIFS($C$5:C743,C743,$B$5:B743,"Vendita"),"")</f>
        <v/>
      </c>
      <c r="O743" t="str">
        <f>IF(N743="","",C743&amp;"|"&amp;N743)</f>
        <v/>
      </c>
      <c r="P743" t="str">
        <f>IF(N743="","",IF(N743=1,0,MATCH(C743&amp;"|"&amp;(N743-1),$O$5:$O$1004,0)))</f>
        <v/>
      </c>
      <c r="Q743" t="str">
        <f>IF(N743="","",IF(P743=0,SUMIFS(Calcoli!$C$7:$C$21,Calcoli!$A$7:$A$21,C743),INDEX($S$5:$S$1004,P743)))</f>
        <v/>
      </c>
      <c r="R743" t="str">
        <f>IF(N743="","",IF(P743=0,SUMIFS(Calcoli!$D$7:$D$21,Calcoli!$A$7:$A$21,C743),INDEX($T$5:$T$1004,P743)))</f>
        <v/>
      </c>
      <c r="S743" t="str">
        <f>IF(N743="","",IF(B743="Acquisto",Q743+N(D743),MAX(0,Q743-N(D743))))</f>
        <v/>
      </c>
      <c r="T743" t="str">
        <f>IF(N743="","",IF(B743="Acquisto",R743+J743+N(G743),IF(Q743&lt;=0,0,R743*(1-MIN(1,N(D743)/Q743)))))</f>
        <v/>
      </c>
      <c r="U743" t="str">
        <f>IF(B743&lt;&gt;"Vendita","",J743-N(G743)-IF(Q743&lt;=0,0,R743*MIN(1,N(D743)/Q743)))</f>
        <v/>
      </c>
      <c r="V743" t="str">
        <f>IF(B743&lt;&gt;"Dividendo","",IF(Calcoli!$B$251=1,J743,L743))</f>
        <v/>
      </c>
      <c r="W743" t="str">
        <f>IF(AND(V743&lt;&gt;"",ISNUMBER(A743)),A743,"")</f>
        <v/>
      </c>
    </row>
    <row r="744">
      <c r="A744" s="134" t="n"/>
      <c r="B744" s="116" t="n"/>
      <c r="C744" s="116" t="n"/>
      <c r="D744" s="121" t="n"/>
      <c r="E744" s="120" t="n"/>
      <c r="F744" s="120" t="n"/>
      <c r="G744" s="120" t="n"/>
      <c r="H744" s="120" t="n"/>
      <c r="I744" s="117" t="n"/>
      <c r="J744" s="123" t="str">
        <f>IF(B744="","",IF(F744&lt;&gt;"",N(F744),ROUND(N(D744)*N(E744),2)))</f>
        <v/>
      </c>
      <c r="K744" s="123" t="str">
        <f>IF(B744="","",IF(H744&lt;&gt;"",N(H744),IF(B744="Dividendo",ROUND(J744*IFERROR(INDEX(Calcoli!$V$7:$V$21,MATCH(C744,Calcoli!$A$7:$A$21,0)),0.26),2),IF(B744="Vendita",ROUND(MAX(0,U744)*IFERROR(INDEX(Calcoli!$V$7:$V$21,MATCH(C744,Calcoli!$A$7:$A$21,0)),0.26),2),0))))</f>
        <v/>
      </c>
      <c r="L744" s="135" t="str">
        <f>IF(B744="","",IF(B744="Acquisto",-(J744+N(G744)),J744-N(G744)-K744))</f>
        <v/>
      </c>
      <c r="M744" s="127" t="str">
        <f>IF(B744="","",IF(ISNA(MATCH(C744,ETF!$A$7:$A$21,0)),"ETF?",IF(NOT(ISNUMBER(A744)),"Data?",IF(AND(B744&lt;&gt;"Dividendo",N(D744)&lt;=0),"Quote?",IF(AND(B744="Vendita",N(D744)&gt;N(Q744)+0.000001),"Quote?",IF(J744&lt;=0,"Importo?","✓"))))))</f>
        <v/>
      </c>
      <c r="N744" t="str">
        <f>IF(OR(B744="Acquisto",B744="Vendita"),COUNTIFS($C$5:C744,C744,$B$5:B744,"Acquisto")+COUNTIFS($C$5:C744,C744,$B$5:B744,"Vendita"),"")</f>
        <v/>
      </c>
      <c r="O744" t="str">
        <f>IF(N744="","",C744&amp;"|"&amp;N744)</f>
        <v/>
      </c>
      <c r="P744" t="str">
        <f>IF(N744="","",IF(N744=1,0,MATCH(C744&amp;"|"&amp;(N744-1),$O$5:$O$1004,0)))</f>
        <v/>
      </c>
      <c r="Q744" t="str">
        <f>IF(N744="","",IF(P744=0,SUMIFS(Calcoli!$C$7:$C$21,Calcoli!$A$7:$A$21,C744),INDEX($S$5:$S$1004,P744)))</f>
        <v/>
      </c>
      <c r="R744" t="str">
        <f>IF(N744="","",IF(P744=0,SUMIFS(Calcoli!$D$7:$D$21,Calcoli!$A$7:$A$21,C744),INDEX($T$5:$T$1004,P744)))</f>
        <v/>
      </c>
      <c r="S744" t="str">
        <f>IF(N744="","",IF(B744="Acquisto",Q744+N(D744),MAX(0,Q744-N(D744))))</f>
        <v/>
      </c>
      <c r="T744" t="str">
        <f>IF(N744="","",IF(B744="Acquisto",R744+J744+N(G744),IF(Q744&lt;=0,0,R744*(1-MIN(1,N(D744)/Q744)))))</f>
        <v/>
      </c>
      <c r="U744" t="str">
        <f>IF(B744&lt;&gt;"Vendita","",J744-N(G744)-IF(Q744&lt;=0,0,R744*MIN(1,N(D744)/Q744)))</f>
        <v/>
      </c>
      <c r="V744" t="str">
        <f>IF(B744&lt;&gt;"Dividendo","",IF(Calcoli!$B$251=1,J744,L744))</f>
        <v/>
      </c>
      <c r="W744" t="str">
        <f>IF(AND(V744&lt;&gt;"",ISNUMBER(A744)),A744,"")</f>
        <v/>
      </c>
    </row>
    <row r="745">
      <c r="A745" s="134" t="n"/>
      <c r="B745" s="116" t="n"/>
      <c r="C745" s="116" t="n"/>
      <c r="D745" s="121" t="n"/>
      <c r="E745" s="120" t="n"/>
      <c r="F745" s="120" t="n"/>
      <c r="G745" s="120" t="n"/>
      <c r="H745" s="120" t="n"/>
      <c r="I745" s="117" t="n"/>
      <c r="J745" s="123" t="str">
        <f>IF(B745="","",IF(F745&lt;&gt;"",N(F745),ROUND(N(D745)*N(E745),2)))</f>
        <v/>
      </c>
      <c r="K745" s="123" t="str">
        <f>IF(B745="","",IF(H745&lt;&gt;"",N(H745),IF(B745="Dividendo",ROUND(J745*IFERROR(INDEX(Calcoli!$V$7:$V$21,MATCH(C745,Calcoli!$A$7:$A$21,0)),0.26),2),IF(B745="Vendita",ROUND(MAX(0,U745)*IFERROR(INDEX(Calcoli!$V$7:$V$21,MATCH(C745,Calcoli!$A$7:$A$21,0)),0.26),2),0))))</f>
        <v/>
      </c>
      <c r="L745" s="135" t="str">
        <f>IF(B745="","",IF(B745="Acquisto",-(J745+N(G745)),J745-N(G745)-K745))</f>
        <v/>
      </c>
      <c r="M745" s="127" t="str">
        <f>IF(B745="","",IF(ISNA(MATCH(C745,ETF!$A$7:$A$21,0)),"ETF?",IF(NOT(ISNUMBER(A745)),"Data?",IF(AND(B745&lt;&gt;"Dividendo",N(D745)&lt;=0),"Quote?",IF(AND(B745="Vendita",N(D745)&gt;N(Q745)+0.000001),"Quote?",IF(J745&lt;=0,"Importo?","✓"))))))</f>
        <v/>
      </c>
      <c r="N745" t="str">
        <f>IF(OR(B745="Acquisto",B745="Vendita"),COUNTIFS($C$5:C745,C745,$B$5:B745,"Acquisto")+COUNTIFS($C$5:C745,C745,$B$5:B745,"Vendita"),"")</f>
        <v/>
      </c>
      <c r="O745" t="str">
        <f>IF(N745="","",C745&amp;"|"&amp;N745)</f>
        <v/>
      </c>
      <c r="P745" t="str">
        <f>IF(N745="","",IF(N745=1,0,MATCH(C745&amp;"|"&amp;(N745-1),$O$5:$O$1004,0)))</f>
        <v/>
      </c>
      <c r="Q745" t="str">
        <f>IF(N745="","",IF(P745=0,SUMIFS(Calcoli!$C$7:$C$21,Calcoli!$A$7:$A$21,C745),INDEX($S$5:$S$1004,P745)))</f>
        <v/>
      </c>
      <c r="R745" t="str">
        <f>IF(N745="","",IF(P745=0,SUMIFS(Calcoli!$D$7:$D$21,Calcoli!$A$7:$A$21,C745),INDEX($T$5:$T$1004,P745)))</f>
        <v/>
      </c>
      <c r="S745" t="str">
        <f>IF(N745="","",IF(B745="Acquisto",Q745+N(D745),MAX(0,Q745-N(D745))))</f>
        <v/>
      </c>
      <c r="T745" t="str">
        <f>IF(N745="","",IF(B745="Acquisto",R745+J745+N(G745),IF(Q745&lt;=0,0,R745*(1-MIN(1,N(D745)/Q745)))))</f>
        <v/>
      </c>
      <c r="U745" t="str">
        <f>IF(B745&lt;&gt;"Vendita","",J745-N(G745)-IF(Q745&lt;=0,0,R745*MIN(1,N(D745)/Q745)))</f>
        <v/>
      </c>
      <c r="V745" t="str">
        <f>IF(B745&lt;&gt;"Dividendo","",IF(Calcoli!$B$251=1,J745,L745))</f>
        <v/>
      </c>
      <c r="W745" t="str">
        <f>IF(AND(V745&lt;&gt;"",ISNUMBER(A745)),A745,"")</f>
        <v/>
      </c>
    </row>
    <row r="746">
      <c r="A746" s="134" t="n"/>
      <c r="B746" s="116" t="n"/>
      <c r="C746" s="116" t="n"/>
      <c r="D746" s="121" t="n"/>
      <c r="E746" s="120" t="n"/>
      <c r="F746" s="120" t="n"/>
      <c r="G746" s="120" t="n"/>
      <c r="H746" s="120" t="n"/>
      <c r="I746" s="117" t="n"/>
      <c r="J746" s="123" t="str">
        <f>IF(B746="","",IF(F746&lt;&gt;"",N(F746),ROUND(N(D746)*N(E746),2)))</f>
        <v/>
      </c>
      <c r="K746" s="123" t="str">
        <f>IF(B746="","",IF(H746&lt;&gt;"",N(H746),IF(B746="Dividendo",ROUND(J746*IFERROR(INDEX(Calcoli!$V$7:$V$21,MATCH(C746,Calcoli!$A$7:$A$21,0)),0.26),2),IF(B746="Vendita",ROUND(MAX(0,U746)*IFERROR(INDEX(Calcoli!$V$7:$V$21,MATCH(C746,Calcoli!$A$7:$A$21,0)),0.26),2),0))))</f>
        <v/>
      </c>
      <c r="L746" s="135" t="str">
        <f>IF(B746="","",IF(B746="Acquisto",-(J746+N(G746)),J746-N(G746)-K746))</f>
        <v/>
      </c>
      <c r="M746" s="127" t="str">
        <f>IF(B746="","",IF(ISNA(MATCH(C746,ETF!$A$7:$A$21,0)),"ETF?",IF(NOT(ISNUMBER(A746)),"Data?",IF(AND(B746&lt;&gt;"Dividendo",N(D746)&lt;=0),"Quote?",IF(AND(B746="Vendita",N(D746)&gt;N(Q746)+0.000001),"Quote?",IF(J746&lt;=0,"Importo?","✓"))))))</f>
        <v/>
      </c>
      <c r="N746" t="str">
        <f>IF(OR(B746="Acquisto",B746="Vendita"),COUNTIFS($C$5:C746,C746,$B$5:B746,"Acquisto")+COUNTIFS($C$5:C746,C746,$B$5:B746,"Vendita"),"")</f>
        <v/>
      </c>
      <c r="O746" t="str">
        <f>IF(N746="","",C746&amp;"|"&amp;N746)</f>
        <v/>
      </c>
      <c r="P746" t="str">
        <f>IF(N746="","",IF(N746=1,0,MATCH(C746&amp;"|"&amp;(N746-1),$O$5:$O$1004,0)))</f>
        <v/>
      </c>
      <c r="Q746" t="str">
        <f>IF(N746="","",IF(P746=0,SUMIFS(Calcoli!$C$7:$C$21,Calcoli!$A$7:$A$21,C746),INDEX($S$5:$S$1004,P746)))</f>
        <v/>
      </c>
      <c r="R746" t="str">
        <f>IF(N746="","",IF(P746=0,SUMIFS(Calcoli!$D$7:$D$21,Calcoli!$A$7:$A$21,C746),INDEX($T$5:$T$1004,P746)))</f>
        <v/>
      </c>
      <c r="S746" t="str">
        <f>IF(N746="","",IF(B746="Acquisto",Q746+N(D746),MAX(0,Q746-N(D746))))</f>
        <v/>
      </c>
      <c r="T746" t="str">
        <f>IF(N746="","",IF(B746="Acquisto",R746+J746+N(G746),IF(Q746&lt;=0,0,R746*(1-MIN(1,N(D746)/Q746)))))</f>
        <v/>
      </c>
      <c r="U746" t="str">
        <f>IF(B746&lt;&gt;"Vendita","",J746-N(G746)-IF(Q746&lt;=0,0,R746*MIN(1,N(D746)/Q746)))</f>
        <v/>
      </c>
      <c r="V746" t="str">
        <f>IF(B746&lt;&gt;"Dividendo","",IF(Calcoli!$B$251=1,J746,L746))</f>
        <v/>
      </c>
      <c r="W746" t="str">
        <f>IF(AND(V746&lt;&gt;"",ISNUMBER(A746)),A746,"")</f>
        <v/>
      </c>
    </row>
    <row r="747">
      <c r="A747" s="134" t="n"/>
      <c r="B747" s="116" t="n"/>
      <c r="C747" s="116" t="n"/>
      <c r="D747" s="121" t="n"/>
      <c r="E747" s="120" t="n"/>
      <c r="F747" s="120" t="n"/>
      <c r="G747" s="120" t="n"/>
      <c r="H747" s="120" t="n"/>
      <c r="I747" s="117" t="n"/>
      <c r="J747" s="123" t="str">
        <f>IF(B747="","",IF(F747&lt;&gt;"",N(F747),ROUND(N(D747)*N(E747),2)))</f>
        <v/>
      </c>
      <c r="K747" s="123" t="str">
        <f>IF(B747="","",IF(H747&lt;&gt;"",N(H747),IF(B747="Dividendo",ROUND(J747*IFERROR(INDEX(Calcoli!$V$7:$V$21,MATCH(C747,Calcoli!$A$7:$A$21,0)),0.26),2),IF(B747="Vendita",ROUND(MAX(0,U747)*IFERROR(INDEX(Calcoli!$V$7:$V$21,MATCH(C747,Calcoli!$A$7:$A$21,0)),0.26),2),0))))</f>
        <v/>
      </c>
      <c r="L747" s="135" t="str">
        <f>IF(B747="","",IF(B747="Acquisto",-(J747+N(G747)),J747-N(G747)-K747))</f>
        <v/>
      </c>
      <c r="M747" s="127" t="str">
        <f>IF(B747="","",IF(ISNA(MATCH(C747,ETF!$A$7:$A$21,0)),"ETF?",IF(NOT(ISNUMBER(A747)),"Data?",IF(AND(B747&lt;&gt;"Dividendo",N(D747)&lt;=0),"Quote?",IF(AND(B747="Vendita",N(D747)&gt;N(Q747)+0.000001),"Quote?",IF(J747&lt;=0,"Importo?","✓"))))))</f>
        <v/>
      </c>
      <c r="N747" t="str">
        <f>IF(OR(B747="Acquisto",B747="Vendita"),COUNTIFS($C$5:C747,C747,$B$5:B747,"Acquisto")+COUNTIFS($C$5:C747,C747,$B$5:B747,"Vendita"),"")</f>
        <v/>
      </c>
      <c r="O747" t="str">
        <f>IF(N747="","",C747&amp;"|"&amp;N747)</f>
        <v/>
      </c>
      <c r="P747" t="str">
        <f>IF(N747="","",IF(N747=1,0,MATCH(C747&amp;"|"&amp;(N747-1),$O$5:$O$1004,0)))</f>
        <v/>
      </c>
      <c r="Q747" t="str">
        <f>IF(N747="","",IF(P747=0,SUMIFS(Calcoli!$C$7:$C$21,Calcoli!$A$7:$A$21,C747),INDEX($S$5:$S$1004,P747)))</f>
        <v/>
      </c>
      <c r="R747" t="str">
        <f>IF(N747="","",IF(P747=0,SUMIFS(Calcoli!$D$7:$D$21,Calcoli!$A$7:$A$21,C747),INDEX($T$5:$T$1004,P747)))</f>
        <v/>
      </c>
      <c r="S747" t="str">
        <f>IF(N747="","",IF(B747="Acquisto",Q747+N(D747),MAX(0,Q747-N(D747))))</f>
        <v/>
      </c>
      <c r="T747" t="str">
        <f>IF(N747="","",IF(B747="Acquisto",R747+J747+N(G747),IF(Q747&lt;=0,0,R747*(1-MIN(1,N(D747)/Q747)))))</f>
        <v/>
      </c>
      <c r="U747" t="str">
        <f>IF(B747&lt;&gt;"Vendita","",J747-N(G747)-IF(Q747&lt;=0,0,R747*MIN(1,N(D747)/Q747)))</f>
        <v/>
      </c>
      <c r="V747" t="str">
        <f>IF(B747&lt;&gt;"Dividendo","",IF(Calcoli!$B$251=1,J747,L747))</f>
        <v/>
      </c>
      <c r="W747" t="str">
        <f>IF(AND(V747&lt;&gt;"",ISNUMBER(A747)),A747,"")</f>
        <v/>
      </c>
    </row>
    <row r="748">
      <c r="A748" s="134" t="n"/>
      <c r="B748" s="116" t="n"/>
      <c r="C748" s="116" t="n"/>
      <c r="D748" s="121" t="n"/>
      <c r="E748" s="120" t="n"/>
      <c r="F748" s="120" t="n"/>
      <c r="G748" s="120" t="n"/>
      <c r="H748" s="120" t="n"/>
      <c r="I748" s="117" t="n"/>
      <c r="J748" s="123" t="str">
        <f>IF(B748="","",IF(F748&lt;&gt;"",N(F748),ROUND(N(D748)*N(E748),2)))</f>
        <v/>
      </c>
      <c r="K748" s="123" t="str">
        <f>IF(B748="","",IF(H748&lt;&gt;"",N(H748),IF(B748="Dividendo",ROUND(J748*IFERROR(INDEX(Calcoli!$V$7:$V$21,MATCH(C748,Calcoli!$A$7:$A$21,0)),0.26),2),IF(B748="Vendita",ROUND(MAX(0,U748)*IFERROR(INDEX(Calcoli!$V$7:$V$21,MATCH(C748,Calcoli!$A$7:$A$21,0)),0.26),2),0))))</f>
        <v/>
      </c>
      <c r="L748" s="135" t="str">
        <f>IF(B748="","",IF(B748="Acquisto",-(J748+N(G748)),J748-N(G748)-K748))</f>
        <v/>
      </c>
      <c r="M748" s="127" t="str">
        <f>IF(B748="","",IF(ISNA(MATCH(C748,ETF!$A$7:$A$21,0)),"ETF?",IF(NOT(ISNUMBER(A748)),"Data?",IF(AND(B748&lt;&gt;"Dividendo",N(D748)&lt;=0),"Quote?",IF(AND(B748="Vendita",N(D748)&gt;N(Q748)+0.000001),"Quote?",IF(J748&lt;=0,"Importo?","✓"))))))</f>
        <v/>
      </c>
      <c r="N748" t="str">
        <f>IF(OR(B748="Acquisto",B748="Vendita"),COUNTIFS($C$5:C748,C748,$B$5:B748,"Acquisto")+COUNTIFS($C$5:C748,C748,$B$5:B748,"Vendita"),"")</f>
        <v/>
      </c>
      <c r="O748" t="str">
        <f>IF(N748="","",C748&amp;"|"&amp;N748)</f>
        <v/>
      </c>
      <c r="P748" t="str">
        <f>IF(N748="","",IF(N748=1,0,MATCH(C748&amp;"|"&amp;(N748-1),$O$5:$O$1004,0)))</f>
        <v/>
      </c>
      <c r="Q748" t="str">
        <f>IF(N748="","",IF(P748=0,SUMIFS(Calcoli!$C$7:$C$21,Calcoli!$A$7:$A$21,C748),INDEX($S$5:$S$1004,P748)))</f>
        <v/>
      </c>
      <c r="R748" t="str">
        <f>IF(N748="","",IF(P748=0,SUMIFS(Calcoli!$D$7:$D$21,Calcoli!$A$7:$A$21,C748),INDEX($T$5:$T$1004,P748)))</f>
        <v/>
      </c>
      <c r="S748" t="str">
        <f>IF(N748="","",IF(B748="Acquisto",Q748+N(D748),MAX(0,Q748-N(D748))))</f>
        <v/>
      </c>
      <c r="T748" t="str">
        <f>IF(N748="","",IF(B748="Acquisto",R748+J748+N(G748),IF(Q748&lt;=0,0,R748*(1-MIN(1,N(D748)/Q748)))))</f>
        <v/>
      </c>
      <c r="U748" t="str">
        <f>IF(B748&lt;&gt;"Vendita","",J748-N(G748)-IF(Q748&lt;=0,0,R748*MIN(1,N(D748)/Q748)))</f>
        <v/>
      </c>
      <c r="V748" t="str">
        <f>IF(B748&lt;&gt;"Dividendo","",IF(Calcoli!$B$251=1,J748,L748))</f>
        <v/>
      </c>
      <c r="W748" t="str">
        <f>IF(AND(V748&lt;&gt;"",ISNUMBER(A748)),A748,"")</f>
        <v/>
      </c>
    </row>
    <row r="749">
      <c r="A749" s="134" t="n"/>
      <c r="B749" s="116" t="n"/>
      <c r="C749" s="116" t="n"/>
      <c r="D749" s="121" t="n"/>
      <c r="E749" s="120" t="n"/>
      <c r="F749" s="120" t="n"/>
      <c r="G749" s="120" t="n"/>
      <c r="H749" s="120" t="n"/>
      <c r="I749" s="117" t="n"/>
      <c r="J749" s="123" t="str">
        <f>IF(B749="","",IF(F749&lt;&gt;"",N(F749),ROUND(N(D749)*N(E749),2)))</f>
        <v/>
      </c>
      <c r="K749" s="123" t="str">
        <f>IF(B749="","",IF(H749&lt;&gt;"",N(H749),IF(B749="Dividendo",ROUND(J749*IFERROR(INDEX(Calcoli!$V$7:$V$21,MATCH(C749,Calcoli!$A$7:$A$21,0)),0.26),2),IF(B749="Vendita",ROUND(MAX(0,U749)*IFERROR(INDEX(Calcoli!$V$7:$V$21,MATCH(C749,Calcoli!$A$7:$A$21,0)),0.26),2),0))))</f>
        <v/>
      </c>
      <c r="L749" s="135" t="str">
        <f>IF(B749="","",IF(B749="Acquisto",-(J749+N(G749)),J749-N(G749)-K749))</f>
        <v/>
      </c>
      <c r="M749" s="127" t="str">
        <f>IF(B749="","",IF(ISNA(MATCH(C749,ETF!$A$7:$A$21,0)),"ETF?",IF(NOT(ISNUMBER(A749)),"Data?",IF(AND(B749&lt;&gt;"Dividendo",N(D749)&lt;=0),"Quote?",IF(AND(B749="Vendita",N(D749)&gt;N(Q749)+0.000001),"Quote?",IF(J749&lt;=0,"Importo?","✓"))))))</f>
        <v/>
      </c>
      <c r="N749" t="str">
        <f>IF(OR(B749="Acquisto",B749="Vendita"),COUNTIFS($C$5:C749,C749,$B$5:B749,"Acquisto")+COUNTIFS($C$5:C749,C749,$B$5:B749,"Vendita"),"")</f>
        <v/>
      </c>
      <c r="O749" t="str">
        <f>IF(N749="","",C749&amp;"|"&amp;N749)</f>
        <v/>
      </c>
      <c r="P749" t="str">
        <f>IF(N749="","",IF(N749=1,0,MATCH(C749&amp;"|"&amp;(N749-1),$O$5:$O$1004,0)))</f>
        <v/>
      </c>
      <c r="Q749" t="str">
        <f>IF(N749="","",IF(P749=0,SUMIFS(Calcoli!$C$7:$C$21,Calcoli!$A$7:$A$21,C749),INDEX($S$5:$S$1004,P749)))</f>
        <v/>
      </c>
      <c r="R749" t="str">
        <f>IF(N749="","",IF(P749=0,SUMIFS(Calcoli!$D$7:$D$21,Calcoli!$A$7:$A$21,C749),INDEX($T$5:$T$1004,P749)))</f>
        <v/>
      </c>
      <c r="S749" t="str">
        <f>IF(N749="","",IF(B749="Acquisto",Q749+N(D749),MAX(0,Q749-N(D749))))</f>
        <v/>
      </c>
      <c r="T749" t="str">
        <f>IF(N749="","",IF(B749="Acquisto",R749+J749+N(G749),IF(Q749&lt;=0,0,R749*(1-MIN(1,N(D749)/Q749)))))</f>
        <v/>
      </c>
      <c r="U749" t="str">
        <f>IF(B749&lt;&gt;"Vendita","",J749-N(G749)-IF(Q749&lt;=0,0,R749*MIN(1,N(D749)/Q749)))</f>
        <v/>
      </c>
      <c r="V749" t="str">
        <f>IF(B749&lt;&gt;"Dividendo","",IF(Calcoli!$B$251=1,J749,L749))</f>
        <v/>
      </c>
      <c r="W749" t="str">
        <f>IF(AND(V749&lt;&gt;"",ISNUMBER(A749)),A749,"")</f>
        <v/>
      </c>
    </row>
    <row r="750">
      <c r="A750" s="134" t="n"/>
      <c r="B750" s="116" t="n"/>
      <c r="C750" s="116" t="n"/>
      <c r="D750" s="121" t="n"/>
      <c r="E750" s="120" t="n"/>
      <c r="F750" s="120" t="n"/>
      <c r="G750" s="120" t="n"/>
      <c r="H750" s="120" t="n"/>
      <c r="I750" s="117" t="n"/>
      <c r="J750" s="123" t="str">
        <f>IF(B750="","",IF(F750&lt;&gt;"",N(F750),ROUND(N(D750)*N(E750),2)))</f>
        <v/>
      </c>
      <c r="K750" s="123" t="str">
        <f>IF(B750="","",IF(H750&lt;&gt;"",N(H750),IF(B750="Dividendo",ROUND(J750*IFERROR(INDEX(Calcoli!$V$7:$V$21,MATCH(C750,Calcoli!$A$7:$A$21,0)),0.26),2),IF(B750="Vendita",ROUND(MAX(0,U750)*IFERROR(INDEX(Calcoli!$V$7:$V$21,MATCH(C750,Calcoli!$A$7:$A$21,0)),0.26),2),0))))</f>
        <v/>
      </c>
      <c r="L750" s="135" t="str">
        <f>IF(B750="","",IF(B750="Acquisto",-(J750+N(G750)),J750-N(G750)-K750))</f>
        <v/>
      </c>
      <c r="M750" s="127" t="str">
        <f>IF(B750="","",IF(ISNA(MATCH(C750,ETF!$A$7:$A$21,0)),"ETF?",IF(NOT(ISNUMBER(A750)),"Data?",IF(AND(B750&lt;&gt;"Dividendo",N(D750)&lt;=0),"Quote?",IF(AND(B750="Vendita",N(D750)&gt;N(Q750)+0.000001),"Quote?",IF(J750&lt;=0,"Importo?","✓"))))))</f>
        <v/>
      </c>
      <c r="N750" t="str">
        <f>IF(OR(B750="Acquisto",B750="Vendita"),COUNTIFS($C$5:C750,C750,$B$5:B750,"Acquisto")+COUNTIFS($C$5:C750,C750,$B$5:B750,"Vendita"),"")</f>
        <v/>
      </c>
      <c r="O750" t="str">
        <f>IF(N750="","",C750&amp;"|"&amp;N750)</f>
        <v/>
      </c>
      <c r="P750" t="str">
        <f>IF(N750="","",IF(N750=1,0,MATCH(C750&amp;"|"&amp;(N750-1),$O$5:$O$1004,0)))</f>
        <v/>
      </c>
      <c r="Q750" t="str">
        <f>IF(N750="","",IF(P750=0,SUMIFS(Calcoli!$C$7:$C$21,Calcoli!$A$7:$A$21,C750),INDEX($S$5:$S$1004,P750)))</f>
        <v/>
      </c>
      <c r="R750" t="str">
        <f>IF(N750="","",IF(P750=0,SUMIFS(Calcoli!$D$7:$D$21,Calcoli!$A$7:$A$21,C750),INDEX($T$5:$T$1004,P750)))</f>
        <v/>
      </c>
      <c r="S750" t="str">
        <f>IF(N750="","",IF(B750="Acquisto",Q750+N(D750),MAX(0,Q750-N(D750))))</f>
        <v/>
      </c>
      <c r="T750" t="str">
        <f>IF(N750="","",IF(B750="Acquisto",R750+J750+N(G750),IF(Q750&lt;=0,0,R750*(1-MIN(1,N(D750)/Q750)))))</f>
        <v/>
      </c>
      <c r="U750" t="str">
        <f>IF(B750&lt;&gt;"Vendita","",J750-N(G750)-IF(Q750&lt;=0,0,R750*MIN(1,N(D750)/Q750)))</f>
        <v/>
      </c>
      <c r="V750" t="str">
        <f>IF(B750&lt;&gt;"Dividendo","",IF(Calcoli!$B$251=1,J750,L750))</f>
        <v/>
      </c>
      <c r="W750" t="str">
        <f>IF(AND(V750&lt;&gt;"",ISNUMBER(A750)),A750,"")</f>
        <v/>
      </c>
    </row>
    <row r="751">
      <c r="A751" s="134" t="n"/>
      <c r="B751" s="116" t="n"/>
      <c r="C751" s="116" t="n"/>
      <c r="D751" s="121" t="n"/>
      <c r="E751" s="120" t="n"/>
      <c r="F751" s="120" t="n"/>
      <c r="G751" s="120" t="n"/>
      <c r="H751" s="120" t="n"/>
      <c r="I751" s="117" t="n"/>
      <c r="J751" s="123" t="str">
        <f>IF(B751="","",IF(F751&lt;&gt;"",N(F751),ROUND(N(D751)*N(E751),2)))</f>
        <v/>
      </c>
      <c r="K751" s="123" t="str">
        <f>IF(B751="","",IF(H751&lt;&gt;"",N(H751),IF(B751="Dividendo",ROUND(J751*IFERROR(INDEX(Calcoli!$V$7:$V$21,MATCH(C751,Calcoli!$A$7:$A$21,0)),0.26),2),IF(B751="Vendita",ROUND(MAX(0,U751)*IFERROR(INDEX(Calcoli!$V$7:$V$21,MATCH(C751,Calcoli!$A$7:$A$21,0)),0.26),2),0))))</f>
        <v/>
      </c>
      <c r="L751" s="135" t="str">
        <f>IF(B751="","",IF(B751="Acquisto",-(J751+N(G751)),J751-N(G751)-K751))</f>
        <v/>
      </c>
      <c r="M751" s="127" t="str">
        <f>IF(B751="","",IF(ISNA(MATCH(C751,ETF!$A$7:$A$21,0)),"ETF?",IF(NOT(ISNUMBER(A751)),"Data?",IF(AND(B751&lt;&gt;"Dividendo",N(D751)&lt;=0),"Quote?",IF(AND(B751="Vendita",N(D751)&gt;N(Q751)+0.000001),"Quote?",IF(J751&lt;=0,"Importo?","✓"))))))</f>
        <v/>
      </c>
      <c r="N751" t="str">
        <f>IF(OR(B751="Acquisto",B751="Vendita"),COUNTIFS($C$5:C751,C751,$B$5:B751,"Acquisto")+COUNTIFS($C$5:C751,C751,$B$5:B751,"Vendita"),"")</f>
        <v/>
      </c>
      <c r="O751" t="str">
        <f>IF(N751="","",C751&amp;"|"&amp;N751)</f>
        <v/>
      </c>
      <c r="P751" t="str">
        <f>IF(N751="","",IF(N751=1,0,MATCH(C751&amp;"|"&amp;(N751-1),$O$5:$O$1004,0)))</f>
        <v/>
      </c>
      <c r="Q751" t="str">
        <f>IF(N751="","",IF(P751=0,SUMIFS(Calcoli!$C$7:$C$21,Calcoli!$A$7:$A$21,C751),INDEX($S$5:$S$1004,P751)))</f>
        <v/>
      </c>
      <c r="R751" t="str">
        <f>IF(N751="","",IF(P751=0,SUMIFS(Calcoli!$D$7:$D$21,Calcoli!$A$7:$A$21,C751),INDEX($T$5:$T$1004,P751)))</f>
        <v/>
      </c>
      <c r="S751" t="str">
        <f>IF(N751="","",IF(B751="Acquisto",Q751+N(D751),MAX(0,Q751-N(D751))))</f>
        <v/>
      </c>
      <c r="T751" t="str">
        <f>IF(N751="","",IF(B751="Acquisto",R751+J751+N(G751),IF(Q751&lt;=0,0,R751*(1-MIN(1,N(D751)/Q751)))))</f>
        <v/>
      </c>
      <c r="U751" t="str">
        <f>IF(B751&lt;&gt;"Vendita","",J751-N(G751)-IF(Q751&lt;=0,0,R751*MIN(1,N(D751)/Q751)))</f>
        <v/>
      </c>
      <c r="V751" t="str">
        <f>IF(B751&lt;&gt;"Dividendo","",IF(Calcoli!$B$251=1,J751,L751))</f>
        <v/>
      </c>
      <c r="W751" t="str">
        <f>IF(AND(V751&lt;&gt;"",ISNUMBER(A751)),A751,"")</f>
        <v/>
      </c>
    </row>
    <row r="752">
      <c r="A752" s="134" t="n"/>
      <c r="B752" s="116" t="n"/>
      <c r="C752" s="116" t="n"/>
      <c r="D752" s="121" t="n"/>
      <c r="E752" s="120" t="n"/>
      <c r="F752" s="120" t="n"/>
      <c r="G752" s="120" t="n"/>
      <c r="H752" s="120" t="n"/>
      <c r="I752" s="117" t="n"/>
      <c r="J752" s="123" t="str">
        <f>IF(B752="","",IF(F752&lt;&gt;"",N(F752),ROUND(N(D752)*N(E752),2)))</f>
        <v/>
      </c>
      <c r="K752" s="123" t="str">
        <f>IF(B752="","",IF(H752&lt;&gt;"",N(H752),IF(B752="Dividendo",ROUND(J752*IFERROR(INDEX(Calcoli!$V$7:$V$21,MATCH(C752,Calcoli!$A$7:$A$21,0)),0.26),2),IF(B752="Vendita",ROUND(MAX(0,U752)*IFERROR(INDEX(Calcoli!$V$7:$V$21,MATCH(C752,Calcoli!$A$7:$A$21,0)),0.26),2),0))))</f>
        <v/>
      </c>
      <c r="L752" s="135" t="str">
        <f>IF(B752="","",IF(B752="Acquisto",-(J752+N(G752)),J752-N(G752)-K752))</f>
        <v/>
      </c>
      <c r="M752" s="127" t="str">
        <f>IF(B752="","",IF(ISNA(MATCH(C752,ETF!$A$7:$A$21,0)),"ETF?",IF(NOT(ISNUMBER(A752)),"Data?",IF(AND(B752&lt;&gt;"Dividendo",N(D752)&lt;=0),"Quote?",IF(AND(B752="Vendita",N(D752)&gt;N(Q752)+0.000001),"Quote?",IF(J752&lt;=0,"Importo?","✓"))))))</f>
        <v/>
      </c>
      <c r="N752" t="str">
        <f>IF(OR(B752="Acquisto",B752="Vendita"),COUNTIFS($C$5:C752,C752,$B$5:B752,"Acquisto")+COUNTIFS($C$5:C752,C752,$B$5:B752,"Vendita"),"")</f>
        <v/>
      </c>
      <c r="O752" t="str">
        <f>IF(N752="","",C752&amp;"|"&amp;N752)</f>
        <v/>
      </c>
      <c r="P752" t="str">
        <f>IF(N752="","",IF(N752=1,0,MATCH(C752&amp;"|"&amp;(N752-1),$O$5:$O$1004,0)))</f>
        <v/>
      </c>
      <c r="Q752" t="str">
        <f>IF(N752="","",IF(P752=0,SUMIFS(Calcoli!$C$7:$C$21,Calcoli!$A$7:$A$21,C752),INDEX($S$5:$S$1004,P752)))</f>
        <v/>
      </c>
      <c r="R752" t="str">
        <f>IF(N752="","",IF(P752=0,SUMIFS(Calcoli!$D$7:$D$21,Calcoli!$A$7:$A$21,C752),INDEX($T$5:$T$1004,P752)))</f>
        <v/>
      </c>
      <c r="S752" t="str">
        <f>IF(N752="","",IF(B752="Acquisto",Q752+N(D752),MAX(0,Q752-N(D752))))</f>
        <v/>
      </c>
      <c r="T752" t="str">
        <f>IF(N752="","",IF(B752="Acquisto",R752+J752+N(G752),IF(Q752&lt;=0,0,R752*(1-MIN(1,N(D752)/Q752)))))</f>
        <v/>
      </c>
      <c r="U752" t="str">
        <f>IF(B752&lt;&gt;"Vendita","",J752-N(G752)-IF(Q752&lt;=0,0,R752*MIN(1,N(D752)/Q752)))</f>
        <v/>
      </c>
      <c r="V752" t="str">
        <f>IF(B752&lt;&gt;"Dividendo","",IF(Calcoli!$B$251=1,J752,L752))</f>
        <v/>
      </c>
      <c r="W752" t="str">
        <f>IF(AND(V752&lt;&gt;"",ISNUMBER(A752)),A752,"")</f>
        <v/>
      </c>
    </row>
    <row r="753">
      <c r="A753" s="134" t="n"/>
      <c r="B753" s="116" t="n"/>
      <c r="C753" s="116" t="n"/>
      <c r="D753" s="121" t="n"/>
      <c r="E753" s="120" t="n"/>
      <c r="F753" s="120" t="n"/>
      <c r="G753" s="120" t="n"/>
      <c r="H753" s="120" t="n"/>
      <c r="I753" s="117" t="n"/>
      <c r="J753" s="123" t="str">
        <f>IF(B753="","",IF(F753&lt;&gt;"",N(F753),ROUND(N(D753)*N(E753),2)))</f>
        <v/>
      </c>
      <c r="K753" s="123" t="str">
        <f>IF(B753="","",IF(H753&lt;&gt;"",N(H753),IF(B753="Dividendo",ROUND(J753*IFERROR(INDEX(Calcoli!$V$7:$V$21,MATCH(C753,Calcoli!$A$7:$A$21,0)),0.26),2),IF(B753="Vendita",ROUND(MAX(0,U753)*IFERROR(INDEX(Calcoli!$V$7:$V$21,MATCH(C753,Calcoli!$A$7:$A$21,0)),0.26),2),0))))</f>
        <v/>
      </c>
      <c r="L753" s="135" t="str">
        <f>IF(B753="","",IF(B753="Acquisto",-(J753+N(G753)),J753-N(G753)-K753))</f>
        <v/>
      </c>
      <c r="M753" s="127" t="str">
        <f>IF(B753="","",IF(ISNA(MATCH(C753,ETF!$A$7:$A$21,0)),"ETF?",IF(NOT(ISNUMBER(A753)),"Data?",IF(AND(B753&lt;&gt;"Dividendo",N(D753)&lt;=0),"Quote?",IF(AND(B753="Vendita",N(D753)&gt;N(Q753)+0.000001),"Quote?",IF(J753&lt;=0,"Importo?","✓"))))))</f>
        <v/>
      </c>
      <c r="N753" t="str">
        <f>IF(OR(B753="Acquisto",B753="Vendita"),COUNTIFS($C$5:C753,C753,$B$5:B753,"Acquisto")+COUNTIFS($C$5:C753,C753,$B$5:B753,"Vendita"),"")</f>
        <v/>
      </c>
      <c r="O753" t="str">
        <f>IF(N753="","",C753&amp;"|"&amp;N753)</f>
        <v/>
      </c>
      <c r="P753" t="str">
        <f>IF(N753="","",IF(N753=1,0,MATCH(C753&amp;"|"&amp;(N753-1),$O$5:$O$1004,0)))</f>
        <v/>
      </c>
      <c r="Q753" t="str">
        <f>IF(N753="","",IF(P753=0,SUMIFS(Calcoli!$C$7:$C$21,Calcoli!$A$7:$A$21,C753),INDEX($S$5:$S$1004,P753)))</f>
        <v/>
      </c>
      <c r="R753" t="str">
        <f>IF(N753="","",IF(P753=0,SUMIFS(Calcoli!$D$7:$D$21,Calcoli!$A$7:$A$21,C753),INDEX($T$5:$T$1004,P753)))</f>
        <v/>
      </c>
      <c r="S753" t="str">
        <f>IF(N753="","",IF(B753="Acquisto",Q753+N(D753),MAX(0,Q753-N(D753))))</f>
        <v/>
      </c>
      <c r="T753" t="str">
        <f>IF(N753="","",IF(B753="Acquisto",R753+J753+N(G753),IF(Q753&lt;=0,0,R753*(1-MIN(1,N(D753)/Q753)))))</f>
        <v/>
      </c>
      <c r="U753" t="str">
        <f>IF(B753&lt;&gt;"Vendita","",J753-N(G753)-IF(Q753&lt;=0,0,R753*MIN(1,N(D753)/Q753)))</f>
        <v/>
      </c>
      <c r="V753" t="str">
        <f>IF(B753&lt;&gt;"Dividendo","",IF(Calcoli!$B$251=1,J753,L753))</f>
        <v/>
      </c>
      <c r="W753" t="str">
        <f>IF(AND(V753&lt;&gt;"",ISNUMBER(A753)),A753,"")</f>
        <v/>
      </c>
    </row>
    <row r="754">
      <c r="A754" s="134" t="n"/>
      <c r="B754" s="116" t="n"/>
      <c r="C754" s="116" t="n"/>
      <c r="D754" s="121" t="n"/>
      <c r="E754" s="120" t="n"/>
      <c r="F754" s="120" t="n"/>
      <c r="G754" s="120" t="n"/>
      <c r="H754" s="120" t="n"/>
      <c r="I754" s="117" t="n"/>
      <c r="J754" s="123" t="str">
        <f>IF(B754="","",IF(F754&lt;&gt;"",N(F754),ROUND(N(D754)*N(E754),2)))</f>
        <v/>
      </c>
      <c r="K754" s="123" t="str">
        <f>IF(B754="","",IF(H754&lt;&gt;"",N(H754),IF(B754="Dividendo",ROUND(J754*IFERROR(INDEX(Calcoli!$V$7:$V$21,MATCH(C754,Calcoli!$A$7:$A$21,0)),0.26),2),IF(B754="Vendita",ROUND(MAX(0,U754)*IFERROR(INDEX(Calcoli!$V$7:$V$21,MATCH(C754,Calcoli!$A$7:$A$21,0)),0.26),2),0))))</f>
        <v/>
      </c>
      <c r="L754" s="135" t="str">
        <f>IF(B754="","",IF(B754="Acquisto",-(J754+N(G754)),J754-N(G754)-K754))</f>
        <v/>
      </c>
      <c r="M754" s="127" t="str">
        <f>IF(B754="","",IF(ISNA(MATCH(C754,ETF!$A$7:$A$21,0)),"ETF?",IF(NOT(ISNUMBER(A754)),"Data?",IF(AND(B754&lt;&gt;"Dividendo",N(D754)&lt;=0),"Quote?",IF(AND(B754="Vendita",N(D754)&gt;N(Q754)+0.000001),"Quote?",IF(J754&lt;=0,"Importo?","✓"))))))</f>
        <v/>
      </c>
      <c r="N754" t="str">
        <f>IF(OR(B754="Acquisto",B754="Vendita"),COUNTIFS($C$5:C754,C754,$B$5:B754,"Acquisto")+COUNTIFS($C$5:C754,C754,$B$5:B754,"Vendita"),"")</f>
        <v/>
      </c>
      <c r="O754" t="str">
        <f>IF(N754="","",C754&amp;"|"&amp;N754)</f>
        <v/>
      </c>
      <c r="P754" t="str">
        <f>IF(N754="","",IF(N754=1,0,MATCH(C754&amp;"|"&amp;(N754-1),$O$5:$O$1004,0)))</f>
        <v/>
      </c>
      <c r="Q754" t="str">
        <f>IF(N754="","",IF(P754=0,SUMIFS(Calcoli!$C$7:$C$21,Calcoli!$A$7:$A$21,C754),INDEX($S$5:$S$1004,P754)))</f>
        <v/>
      </c>
      <c r="R754" t="str">
        <f>IF(N754="","",IF(P754=0,SUMIFS(Calcoli!$D$7:$D$21,Calcoli!$A$7:$A$21,C754),INDEX($T$5:$T$1004,P754)))</f>
        <v/>
      </c>
      <c r="S754" t="str">
        <f>IF(N754="","",IF(B754="Acquisto",Q754+N(D754),MAX(0,Q754-N(D754))))</f>
        <v/>
      </c>
      <c r="T754" t="str">
        <f>IF(N754="","",IF(B754="Acquisto",R754+J754+N(G754),IF(Q754&lt;=0,0,R754*(1-MIN(1,N(D754)/Q754)))))</f>
        <v/>
      </c>
      <c r="U754" t="str">
        <f>IF(B754&lt;&gt;"Vendita","",J754-N(G754)-IF(Q754&lt;=0,0,R754*MIN(1,N(D754)/Q754)))</f>
        <v/>
      </c>
      <c r="V754" t="str">
        <f>IF(B754&lt;&gt;"Dividendo","",IF(Calcoli!$B$251=1,J754,L754))</f>
        <v/>
      </c>
      <c r="W754" t="str">
        <f>IF(AND(V754&lt;&gt;"",ISNUMBER(A754)),A754,"")</f>
        <v/>
      </c>
    </row>
    <row r="755">
      <c r="A755" s="134" t="n"/>
      <c r="B755" s="116" t="n"/>
      <c r="C755" s="116" t="n"/>
      <c r="D755" s="121" t="n"/>
      <c r="E755" s="120" t="n"/>
      <c r="F755" s="120" t="n"/>
      <c r="G755" s="120" t="n"/>
      <c r="H755" s="120" t="n"/>
      <c r="I755" s="117" t="n"/>
      <c r="J755" s="123" t="str">
        <f>IF(B755="","",IF(F755&lt;&gt;"",N(F755),ROUND(N(D755)*N(E755),2)))</f>
        <v/>
      </c>
      <c r="K755" s="123" t="str">
        <f>IF(B755="","",IF(H755&lt;&gt;"",N(H755),IF(B755="Dividendo",ROUND(J755*IFERROR(INDEX(Calcoli!$V$7:$V$21,MATCH(C755,Calcoli!$A$7:$A$21,0)),0.26),2),IF(B755="Vendita",ROUND(MAX(0,U755)*IFERROR(INDEX(Calcoli!$V$7:$V$21,MATCH(C755,Calcoli!$A$7:$A$21,0)),0.26),2),0))))</f>
        <v/>
      </c>
      <c r="L755" s="135" t="str">
        <f>IF(B755="","",IF(B755="Acquisto",-(J755+N(G755)),J755-N(G755)-K755))</f>
        <v/>
      </c>
      <c r="M755" s="127" t="str">
        <f>IF(B755="","",IF(ISNA(MATCH(C755,ETF!$A$7:$A$21,0)),"ETF?",IF(NOT(ISNUMBER(A755)),"Data?",IF(AND(B755&lt;&gt;"Dividendo",N(D755)&lt;=0),"Quote?",IF(AND(B755="Vendita",N(D755)&gt;N(Q755)+0.000001),"Quote?",IF(J755&lt;=0,"Importo?","✓"))))))</f>
        <v/>
      </c>
      <c r="N755" t="str">
        <f>IF(OR(B755="Acquisto",B755="Vendita"),COUNTIFS($C$5:C755,C755,$B$5:B755,"Acquisto")+COUNTIFS($C$5:C755,C755,$B$5:B755,"Vendita"),"")</f>
        <v/>
      </c>
      <c r="O755" t="str">
        <f>IF(N755="","",C755&amp;"|"&amp;N755)</f>
        <v/>
      </c>
      <c r="P755" t="str">
        <f>IF(N755="","",IF(N755=1,0,MATCH(C755&amp;"|"&amp;(N755-1),$O$5:$O$1004,0)))</f>
        <v/>
      </c>
      <c r="Q755" t="str">
        <f>IF(N755="","",IF(P755=0,SUMIFS(Calcoli!$C$7:$C$21,Calcoli!$A$7:$A$21,C755),INDEX($S$5:$S$1004,P755)))</f>
        <v/>
      </c>
      <c r="R755" t="str">
        <f>IF(N755="","",IF(P755=0,SUMIFS(Calcoli!$D$7:$D$21,Calcoli!$A$7:$A$21,C755),INDEX($T$5:$T$1004,P755)))</f>
        <v/>
      </c>
      <c r="S755" t="str">
        <f>IF(N755="","",IF(B755="Acquisto",Q755+N(D755),MAX(0,Q755-N(D755))))</f>
        <v/>
      </c>
      <c r="T755" t="str">
        <f>IF(N755="","",IF(B755="Acquisto",R755+J755+N(G755),IF(Q755&lt;=0,0,R755*(1-MIN(1,N(D755)/Q755)))))</f>
        <v/>
      </c>
      <c r="U755" t="str">
        <f>IF(B755&lt;&gt;"Vendita","",J755-N(G755)-IF(Q755&lt;=0,0,R755*MIN(1,N(D755)/Q755)))</f>
        <v/>
      </c>
      <c r="V755" t="str">
        <f>IF(B755&lt;&gt;"Dividendo","",IF(Calcoli!$B$251=1,J755,L755))</f>
        <v/>
      </c>
      <c r="W755" t="str">
        <f>IF(AND(V755&lt;&gt;"",ISNUMBER(A755)),A755,"")</f>
        <v/>
      </c>
    </row>
    <row r="756">
      <c r="A756" s="134" t="n"/>
      <c r="B756" s="116" t="n"/>
      <c r="C756" s="116" t="n"/>
      <c r="D756" s="121" t="n"/>
      <c r="E756" s="120" t="n"/>
      <c r="F756" s="120" t="n"/>
      <c r="G756" s="120" t="n"/>
      <c r="H756" s="120" t="n"/>
      <c r="I756" s="117" t="n"/>
      <c r="J756" s="123" t="str">
        <f>IF(B756="","",IF(F756&lt;&gt;"",N(F756),ROUND(N(D756)*N(E756),2)))</f>
        <v/>
      </c>
      <c r="K756" s="123" t="str">
        <f>IF(B756="","",IF(H756&lt;&gt;"",N(H756),IF(B756="Dividendo",ROUND(J756*IFERROR(INDEX(Calcoli!$V$7:$V$21,MATCH(C756,Calcoli!$A$7:$A$21,0)),0.26),2),IF(B756="Vendita",ROUND(MAX(0,U756)*IFERROR(INDEX(Calcoli!$V$7:$V$21,MATCH(C756,Calcoli!$A$7:$A$21,0)),0.26),2),0))))</f>
        <v/>
      </c>
      <c r="L756" s="135" t="str">
        <f>IF(B756="","",IF(B756="Acquisto",-(J756+N(G756)),J756-N(G756)-K756))</f>
        <v/>
      </c>
      <c r="M756" s="127" t="str">
        <f>IF(B756="","",IF(ISNA(MATCH(C756,ETF!$A$7:$A$21,0)),"ETF?",IF(NOT(ISNUMBER(A756)),"Data?",IF(AND(B756&lt;&gt;"Dividendo",N(D756)&lt;=0),"Quote?",IF(AND(B756="Vendita",N(D756)&gt;N(Q756)+0.000001),"Quote?",IF(J756&lt;=0,"Importo?","✓"))))))</f>
        <v/>
      </c>
      <c r="N756" t="str">
        <f>IF(OR(B756="Acquisto",B756="Vendita"),COUNTIFS($C$5:C756,C756,$B$5:B756,"Acquisto")+COUNTIFS($C$5:C756,C756,$B$5:B756,"Vendita"),"")</f>
        <v/>
      </c>
      <c r="O756" t="str">
        <f>IF(N756="","",C756&amp;"|"&amp;N756)</f>
        <v/>
      </c>
      <c r="P756" t="str">
        <f>IF(N756="","",IF(N756=1,0,MATCH(C756&amp;"|"&amp;(N756-1),$O$5:$O$1004,0)))</f>
        <v/>
      </c>
      <c r="Q756" t="str">
        <f>IF(N756="","",IF(P756=0,SUMIFS(Calcoli!$C$7:$C$21,Calcoli!$A$7:$A$21,C756),INDEX($S$5:$S$1004,P756)))</f>
        <v/>
      </c>
      <c r="R756" t="str">
        <f>IF(N756="","",IF(P756=0,SUMIFS(Calcoli!$D$7:$D$21,Calcoli!$A$7:$A$21,C756),INDEX($T$5:$T$1004,P756)))</f>
        <v/>
      </c>
      <c r="S756" t="str">
        <f>IF(N756="","",IF(B756="Acquisto",Q756+N(D756),MAX(0,Q756-N(D756))))</f>
        <v/>
      </c>
      <c r="T756" t="str">
        <f>IF(N756="","",IF(B756="Acquisto",R756+J756+N(G756),IF(Q756&lt;=0,0,R756*(1-MIN(1,N(D756)/Q756)))))</f>
        <v/>
      </c>
      <c r="U756" t="str">
        <f>IF(B756&lt;&gt;"Vendita","",J756-N(G756)-IF(Q756&lt;=0,0,R756*MIN(1,N(D756)/Q756)))</f>
        <v/>
      </c>
      <c r="V756" t="str">
        <f>IF(B756&lt;&gt;"Dividendo","",IF(Calcoli!$B$251=1,J756,L756))</f>
        <v/>
      </c>
      <c r="W756" t="str">
        <f>IF(AND(V756&lt;&gt;"",ISNUMBER(A756)),A756,"")</f>
        <v/>
      </c>
    </row>
    <row r="757">
      <c r="A757" s="134" t="n"/>
      <c r="B757" s="116" t="n"/>
      <c r="C757" s="116" t="n"/>
      <c r="D757" s="121" t="n"/>
      <c r="E757" s="120" t="n"/>
      <c r="F757" s="120" t="n"/>
      <c r="G757" s="120" t="n"/>
      <c r="H757" s="120" t="n"/>
      <c r="I757" s="117" t="n"/>
      <c r="J757" s="123" t="str">
        <f>IF(B757="","",IF(F757&lt;&gt;"",N(F757),ROUND(N(D757)*N(E757),2)))</f>
        <v/>
      </c>
      <c r="K757" s="123" t="str">
        <f>IF(B757="","",IF(H757&lt;&gt;"",N(H757),IF(B757="Dividendo",ROUND(J757*IFERROR(INDEX(Calcoli!$V$7:$V$21,MATCH(C757,Calcoli!$A$7:$A$21,0)),0.26),2),IF(B757="Vendita",ROUND(MAX(0,U757)*IFERROR(INDEX(Calcoli!$V$7:$V$21,MATCH(C757,Calcoli!$A$7:$A$21,0)),0.26),2),0))))</f>
        <v/>
      </c>
      <c r="L757" s="135" t="str">
        <f>IF(B757="","",IF(B757="Acquisto",-(J757+N(G757)),J757-N(G757)-K757))</f>
        <v/>
      </c>
      <c r="M757" s="127" t="str">
        <f>IF(B757="","",IF(ISNA(MATCH(C757,ETF!$A$7:$A$21,0)),"ETF?",IF(NOT(ISNUMBER(A757)),"Data?",IF(AND(B757&lt;&gt;"Dividendo",N(D757)&lt;=0),"Quote?",IF(AND(B757="Vendita",N(D757)&gt;N(Q757)+0.000001),"Quote?",IF(J757&lt;=0,"Importo?","✓"))))))</f>
        <v/>
      </c>
      <c r="N757" t="str">
        <f>IF(OR(B757="Acquisto",B757="Vendita"),COUNTIFS($C$5:C757,C757,$B$5:B757,"Acquisto")+COUNTIFS($C$5:C757,C757,$B$5:B757,"Vendita"),"")</f>
        <v/>
      </c>
      <c r="O757" t="str">
        <f>IF(N757="","",C757&amp;"|"&amp;N757)</f>
        <v/>
      </c>
      <c r="P757" t="str">
        <f>IF(N757="","",IF(N757=1,0,MATCH(C757&amp;"|"&amp;(N757-1),$O$5:$O$1004,0)))</f>
        <v/>
      </c>
      <c r="Q757" t="str">
        <f>IF(N757="","",IF(P757=0,SUMIFS(Calcoli!$C$7:$C$21,Calcoli!$A$7:$A$21,C757),INDEX($S$5:$S$1004,P757)))</f>
        <v/>
      </c>
      <c r="R757" t="str">
        <f>IF(N757="","",IF(P757=0,SUMIFS(Calcoli!$D$7:$D$21,Calcoli!$A$7:$A$21,C757),INDEX($T$5:$T$1004,P757)))</f>
        <v/>
      </c>
      <c r="S757" t="str">
        <f>IF(N757="","",IF(B757="Acquisto",Q757+N(D757),MAX(0,Q757-N(D757))))</f>
        <v/>
      </c>
      <c r="T757" t="str">
        <f>IF(N757="","",IF(B757="Acquisto",R757+J757+N(G757),IF(Q757&lt;=0,0,R757*(1-MIN(1,N(D757)/Q757)))))</f>
        <v/>
      </c>
      <c r="U757" t="str">
        <f>IF(B757&lt;&gt;"Vendita","",J757-N(G757)-IF(Q757&lt;=0,0,R757*MIN(1,N(D757)/Q757)))</f>
        <v/>
      </c>
      <c r="V757" t="str">
        <f>IF(B757&lt;&gt;"Dividendo","",IF(Calcoli!$B$251=1,J757,L757))</f>
        <v/>
      </c>
      <c r="W757" t="str">
        <f>IF(AND(V757&lt;&gt;"",ISNUMBER(A757)),A757,"")</f>
        <v/>
      </c>
    </row>
    <row r="758">
      <c r="A758" s="134" t="n"/>
      <c r="B758" s="116" t="n"/>
      <c r="C758" s="116" t="n"/>
      <c r="D758" s="121" t="n"/>
      <c r="E758" s="120" t="n"/>
      <c r="F758" s="120" t="n"/>
      <c r="G758" s="120" t="n"/>
      <c r="H758" s="120" t="n"/>
      <c r="I758" s="117" t="n"/>
      <c r="J758" s="123" t="str">
        <f>IF(B758="","",IF(F758&lt;&gt;"",N(F758),ROUND(N(D758)*N(E758),2)))</f>
        <v/>
      </c>
      <c r="K758" s="123" t="str">
        <f>IF(B758="","",IF(H758&lt;&gt;"",N(H758),IF(B758="Dividendo",ROUND(J758*IFERROR(INDEX(Calcoli!$V$7:$V$21,MATCH(C758,Calcoli!$A$7:$A$21,0)),0.26),2),IF(B758="Vendita",ROUND(MAX(0,U758)*IFERROR(INDEX(Calcoli!$V$7:$V$21,MATCH(C758,Calcoli!$A$7:$A$21,0)),0.26),2),0))))</f>
        <v/>
      </c>
      <c r="L758" s="135" t="str">
        <f>IF(B758="","",IF(B758="Acquisto",-(J758+N(G758)),J758-N(G758)-K758))</f>
        <v/>
      </c>
      <c r="M758" s="127" t="str">
        <f>IF(B758="","",IF(ISNA(MATCH(C758,ETF!$A$7:$A$21,0)),"ETF?",IF(NOT(ISNUMBER(A758)),"Data?",IF(AND(B758&lt;&gt;"Dividendo",N(D758)&lt;=0),"Quote?",IF(AND(B758="Vendita",N(D758)&gt;N(Q758)+0.000001),"Quote?",IF(J758&lt;=0,"Importo?","✓"))))))</f>
        <v/>
      </c>
      <c r="N758" t="str">
        <f>IF(OR(B758="Acquisto",B758="Vendita"),COUNTIFS($C$5:C758,C758,$B$5:B758,"Acquisto")+COUNTIFS($C$5:C758,C758,$B$5:B758,"Vendita"),"")</f>
        <v/>
      </c>
      <c r="O758" t="str">
        <f>IF(N758="","",C758&amp;"|"&amp;N758)</f>
        <v/>
      </c>
      <c r="P758" t="str">
        <f>IF(N758="","",IF(N758=1,0,MATCH(C758&amp;"|"&amp;(N758-1),$O$5:$O$1004,0)))</f>
        <v/>
      </c>
      <c r="Q758" t="str">
        <f>IF(N758="","",IF(P758=0,SUMIFS(Calcoli!$C$7:$C$21,Calcoli!$A$7:$A$21,C758),INDEX($S$5:$S$1004,P758)))</f>
        <v/>
      </c>
      <c r="R758" t="str">
        <f>IF(N758="","",IF(P758=0,SUMIFS(Calcoli!$D$7:$D$21,Calcoli!$A$7:$A$21,C758),INDEX($T$5:$T$1004,P758)))</f>
        <v/>
      </c>
      <c r="S758" t="str">
        <f>IF(N758="","",IF(B758="Acquisto",Q758+N(D758),MAX(0,Q758-N(D758))))</f>
        <v/>
      </c>
      <c r="T758" t="str">
        <f>IF(N758="","",IF(B758="Acquisto",R758+J758+N(G758),IF(Q758&lt;=0,0,R758*(1-MIN(1,N(D758)/Q758)))))</f>
        <v/>
      </c>
      <c r="U758" t="str">
        <f>IF(B758&lt;&gt;"Vendita","",J758-N(G758)-IF(Q758&lt;=0,0,R758*MIN(1,N(D758)/Q758)))</f>
        <v/>
      </c>
      <c r="V758" t="str">
        <f>IF(B758&lt;&gt;"Dividendo","",IF(Calcoli!$B$251=1,J758,L758))</f>
        <v/>
      </c>
      <c r="W758" t="str">
        <f>IF(AND(V758&lt;&gt;"",ISNUMBER(A758)),A758,"")</f>
        <v/>
      </c>
    </row>
    <row r="759">
      <c r="A759" s="134" t="n"/>
      <c r="B759" s="116" t="n"/>
      <c r="C759" s="116" t="n"/>
      <c r="D759" s="121" t="n"/>
      <c r="E759" s="120" t="n"/>
      <c r="F759" s="120" t="n"/>
      <c r="G759" s="120" t="n"/>
      <c r="H759" s="120" t="n"/>
      <c r="I759" s="117" t="n"/>
      <c r="J759" s="123" t="str">
        <f>IF(B759="","",IF(F759&lt;&gt;"",N(F759),ROUND(N(D759)*N(E759),2)))</f>
        <v/>
      </c>
      <c r="K759" s="123" t="str">
        <f>IF(B759="","",IF(H759&lt;&gt;"",N(H759),IF(B759="Dividendo",ROUND(J759*IFERROR(INDEX(Calcoli!$V$7:$V$21,MATCH(C759,Calcoli!$A$7:$A$21,0)),0.26),2),IF(B759="Vendita",ROUND(MAX(0,U759)*IFERROR(INDEX(Calcoli!$V$7:$V$21,MATCH(C759,Calcoli!$A$7:$A$21,0)),0.26),2),0))))</f>
        <v/>
      </c>
      <c r="L759" s="135" t="str">
        <f>IF(B759="","",IF(B759="Acquisto",-(J759+N(G759)),J759-N(G759)-K759))</f>
        <v/>
      </c>
      <c r="M759" s="127" t="str">
        <f>IF(B759="","",IF(ISNA(MATCH(C759,ETF!$A$7:$A$21,0)),"ETF?",IF(NOT(ISNUMBER(A759)),"Data?",IF(AND(B759&lt;&gt;"Dividendo",N(D759)&lt;=0),"Quote?",IF(AND(B759="Vendita",N(D759)&gt;N(Q759)+0.000001),"Quote?",IF(J759&lt;=0,"Importo?","✓"))))))</f>
        <v/>
      </c>
      <c r="N759" t="str">
        <f>IF(OR(B759="Acquisto",B759="Vendita"),COUNTIFS($C$5:C759,C759,$B$5:B759,"Acquisto")+COUNTIFS($C$5:C759,C759,$B$5:B759,"Vendita"),"")</f>
        <v/>
      </c>
      <c r="O759" t="str">
        <f>IF(N759="","",C759&amp;"|"&amp;N759)</f>
        <v/>
      </c>
      <c r="P759" t="str">
        <f>IF(N759="","",IF(N759=1,0,MATCH(C759&amp;"|"&amp;(N759-1),$O$5:$O$1004,0)))</f>
        <v/>
      </c>
      <c r="Q759" t="str">
        <f>IF(N759="","",IF(P759=0,SUMIFS(Calcoli!$C$7:$C$21,Calcoli!$A$7:$A$21,C759),INDEX($S$5:$S$1004,P759)))</f>
        <v/>
      </c>
      <c r="R759" t="str">
        <f>IF(N759="","",IF(P759=0,SUMIFS(Calcoli!$D$7:$D$21,Calcoli!$A$7:$A$21,C759),INDEX($T$5:$T$1004,P759)))</f>
        <v/>
      </c>
      <c r="S759" t="str">
        <f>IF(N759="","",IF(B759="Acquisto",Q759+N(D759),MAX(0,Q759-N(D759))))</f>
        <v/>
      </c>
      <c r="T759" t="str">
        <f>IF(N759="","",IF(B759="Acquisto",R759+J759+N(G759),IF(Q759&lt;=0,0,R759*(1-MIN(1,N(D759)/Q759)))))</f>
        <v/>
      </c>
      <c r="U759" t="str">
        <f>IF(B759&lt;&gt;"Vendita","",J759-N(G759)-IF(Q759&lt;=0,0,R759*MIN(1,N(D759)/Q759)))</f>
        <v/>
      </c>
      <c r="V759" t="str">
        <f>IF(B759&lt;&gt;"Dividendo","",IF(Calcoli!$B$251=1,J759,L759))</f>
        <v/>
      </c>
      <c r="W759" t="str">
        <f>IF(AND(V759&lt;&gt;"",ISNUMBER(A759)),A759,"")</f>
        <v/>
      </c>
    </row>
    <row r="760">
      <c r="A760" s="134" t="n"/>
      <c r="B760" s="116" t="n"/>
      <c r="C760" s="116" t="n"/>
      <c r="D760" s="121" t="n"/>
      <c r="E760" s="120" t="n"/>
      <c r="F760" s="120" t="n"/>
      <c r="G760" s="120" t="n"/>
      <c r="H760" s="120" t="n"/>
      <c r="I760" s="117" t="n"/>
      <c r="J760" s="123" t="str">
        <f>IF(B760="","",IF(F760&lt;&gt;"",N(F760),ROUND(N(D760)*N(E760),2)))</f>
        <v/>
      </c>
      <c r="K760" s="123" t="str">
        <f>IF(B760="","",IF(H760&lt;&gt;"",N(H760),IF(B760="Dividendo",ROUND(J760*IFERROR(INDEX(Calcoli!$V$7:$V$21,MATCH(C760,Calcoli!$A$7:$A$21,0)),0.26),2),IF(B760="Vendita",ROUND(MAX(0,U760)*IFERROR(INDEX(Calcoli!$V$7:$V$21,MATCH(C760,Calcoli!$A$7:$A$21,0)),0.26),2),0))))</f>
        <v/>
      </c>
      <c r="L760" s="135" t="str">
        <f>IF(B760="","",IF(B760="Acquisto",-(J760+N(G760)),J760-N(G760)-K760))</f>
        <v/>
      </c>
      <c r="M760" s="127" t="str">
        <f>IF(B760="","",IF(ISNA(MATCH(C760,ETF!$A$7:$A$21,0)),"ETF?",IF(NOT(ISNUMBER(A760)),"Data?",IF(AND(B760&lt;&gt;"Dividendo",N(D760)&lt;=0),"Quote?",IF(AND(B760="Vendita",N(D760)&gt;N(Q760)+0.000001),"Quote?",IF(J760&lt;=0,"Importo?","✓"))))))</f>
        <v/>
      </c>
      <c r="N760" t="str">
        <f>IF(OR(B760="Acquisto",B760="Vendita"),COUNTIFS($C$5:C760,C760,$B$5:B760,"Acquisto")+COUNTIFS($C$5:C760,C760,$B$5:B760,"Vendita"),"")</f>
        <v/>
      </c>
      <c r="O760" t="str">
        <f>IF(N760="","",C760&amp;"|"&amp;N760)</f>
        <v/>
      </c>
      <c r="P760" t="str">
        <f>IF(N760="","",IF(N760=1,0,MATCH(C760&amp;"|"&amp;(N760-1),$O$5:$O$1004,0)))</f>
        <v/>
      </c>
      <c r="Q760" t="str">
        <f>IF(N760="","",IF(P760=0,SUMIFS(Calcoli!$C$7:$C$21,Calcoli!$A$7:$A$21,C760),INDEX($S$5:$S$1004,P760)))</f>
        <v/>
      </c>
      <c r="R760" t="str">
        <f>IF(N760="","",IF(P760=0,SUMIFS(Calcoli!$D$7:$D$21,Calcoli!$A$7:$A$21,C760),INDEX($T$5:$T$1004,P760)))</f>
        <v/>
      </c>
      <c r="S760" t="str">
        <f>IF(N760="","",IF(B760="Acquisto",Q760+N(D760),MAX(0,Q760-N(D760))))</f>
        <v/>
      </c>
      <c r="T760" t="str">
        <f>IF(N760="","",IF(B760="Acquisto",R760+J760+N(G760),IF(Q760&lt;=0,0,R760*(1-MIN(1,N(D760)/Q760)))))</f>
        <v/>
      </c>
      <c r="U760" t="str">
        <f>IF(B760&lt;&gt;"Vendita","",J760-N(G760)-IF(Q760&lt;=0,0,R760*MIN(1,N(D760)/Q760)))</f>
        <v/>
      </c>
      <c r="V760" t="str">
        <f>IF(B760&lt;&gt;"Dividendo","",IF(Calcoli!$B$251=1,J760,L760))</f>
        <v/>
      </c>
      <c r="W760" t="str">
        <f>IF(AND(V760&lt;&gt;"",ISNUMBER(A760)),A760,"")</f>
        <v/>
      </c>
    </row>
    <row r="761">
      <c r="A761" s="134" t="n"/>
      <c r="B761" s="116" t="n"/>
      <c r="C761" s="116" t="n"/>
      <c r="D761" s="121" t="n"/>
      <c r="E761" s="120" t="n"/>
      <c r="F761" s="120" t="n"/>
      <c r="G761" s="120" t="n"/>
      <c r="H761" s="120" t="n"/>
      <c r="I761" s="117" t="n"/>
      <c r="J761" s="123" t="str">
        <f>IF(B761="","",IF(F761&lt;&gt;"",N(F761),ROUND(N(D761)*N(E761),2)))</f>
        <v/>
      </c>
      <c r="K761" s="123" t="str">
        <f>IF(B761="","",IF(H761&lt;&gt;"",N(H761),IF(B761="Dividendo",ROUND(J761*IFERROR(INDEX(Calcoli!$V$7:$V$21,MATCH(C761,Calcoli!$A$7:$A$21,0)),0.26),2),IF(B761="Vendita",ROUND(MAX(0,U761)*IFERROR(INDEX(Calcoli!$V$7:$V$21,MATCH(C761,Calcoli!$A$7:$A$21,0)),0.26),2),0))))</f>
        <v/>
      </c>
      <c r="L761" s="135" t="str">
        <f>IF(B761="","",IF(B761="Acquisto",-(J761+N(G761)),J761-N(G761)-K761))</f>
        <v/>
      </c>
      <c r="M761" s="127" t="str">
        <f>IF(B761="","",IF(ISNA(MATCH(C761,ETF!$A$7:$A$21,0)),"ETF?",IF(NOT(ISNUMBER(A761)),"Data?",IF(AND(B761&lt;&gt;"Dividendo",N(D761)&lt;=0),"Quote?",IF(AND(B761="Vendita",N(D761)&gt;N(Q761)+0.000001),"Quote?",IF(J761&lt;=0,"Importo?","✓"))))))</f>
        <v/>
      </c>
      <c r="N761" t="str">
        <f>IF(OR(B761="Acquisto",B761="Vendita"),COUNTIFS($C$5:C761,C761,$B$5:B761,"Acquisto")+COUNTIFS($C$5:C761,C761,$B$5:B761,"Vendita"),"")</f>
        <v/>
      </c>
      <c r="O761" t="str">
        <f>IF(N761="","",C761&amp;"|"&amp;N761)</f>
        <v/>
      </c>
      <c r="P761" t="str">
        <f>IF(N761="","",IF(N761=1,0,MATCH(C761&amp;"|"&amp;(N761-1),$O$5:$O$1004,0)))</f>
        <v/>
      </c>
      <c r="Q761" t="str">
        <f>IF(N761="","",IF(P761=0,SUMIFS(Calcoli!$C$7:$C$21,Calcoli!$A$7:$A$21,C761),INDEX($S$5:$S$1004,P761)))</f>
        <v/>
      </c>
      <c r="R761" t="str">
        <f>IF(N761="","",IF(P761=0,SUMIFS(Calcoli!$D$7:$D$21,Calcoli!$A$7:$A$21,C761),INDEX($T$5:$T$1004,P761)))</f>
        <v/>
      </c>
      <c r="S761" t="str">
        <f>IF(N761="","",IF(B761="Acquisto",Q761+N(D761),MAX(0,Q761-N(D761))))</f>
        <v/>
      </c>
      <c r="T761" t="str">
        <f>IF(N761="","",IF(B761="Acquisto",R761+J761+N(G761),IF(Q761&lt;=0,0,R761*(1-MIN(1,N(D761)/Q761)))))</f>
        <v/>
      </c>
      <c r="U761" t="str">
        <f>IF(B761&lt;&gt;"Vendita","",J761-N(G761)-IF(Q761&lt;=0,0,R761*MIN(1,N(D761)/Q761)))</f>
        <v/>
      </c>
      <c r="V761" t="str">
        <f>IF(B761&lt;&gt;"Dividendo","",IF(Calcoli!$B$251=1,J761,L761))</f>
        <v/>
      </c>
      <c r="W761" t="str">
        <f>IF(AND(V761&lt;&gt;"",ISNUMBER(A761)),A761,"")</f>
        <v/>
      </c>
    </row>
    <row r="762">
      <c r="A762" s="134" t="n"/>
      <c r="B762" s="116" t="n"/>
      <c r="C762" s="116" t="n"/>
      <c r="D762" s="121" t="n"/>
      <c r="E762" s="120" t="n"/>
      <c r="F762" s="120" t="n"/>
      <c r="G762" s="120" t="n"/>
      <c r="H762" s="120" t="n"/>
      <c r="I762" s="117" t="n"/>
      <c r="J762" s="123" t="str">
        <f>IF(B762="","",IF(F762&lt;&gt;"",N(F762),ROUND(N(D762)*N(E762),2)))</f>
        <v/>
      </c>
      <c r="K762" s="123" t="str">
        <f>IF(B762="","",IF(H762&lt;&gt;"",N(H762),IF(B762="Dividendo",ROUND(J762*IFERROR(INDEX(Calcoli!$V$7:$V$21,MATCH(C762,Calcoli!$A$7:$A$21,0)),0.26),2),IF(B762="Vendita",ROUND(MAX(0,U762)*IFERROR(INDEX(Calcoli!$V$7:$V$21,MATCH(C762,Calcoli!$A$7:$A$21,0)),0.26),2),0))))</f>
        <v/>
      </c>
      <c r="L762" s="135" t="str">
        <f>IF(B762="","",IF(B762="Acquisto",-(J762+N(G762)),J762-N(G762)-K762))</f>
        <v/>
      </c>
      <c r="M762" s="127" t="str">
        <f>IF(B762="","",IF(ISNA(MATCH(C762,ETF!$A$7:$A$21,0)),"ETF?",IF(NOT(ISNUMBER(A762)),"Data?",IF(AND(B762&lt;&gt;"Dividendo",N(D762)&lt;=0),"Quote?",IF(AND(B762="Vendita",N(D762)&gt;N(Q762)+0.000001),"Quote?",IF(J762&lt;=0,"Importo?","✓"))))))</f>
        <v/>
      </c>
      <c r="N762" t="str">
        <f>IF(OR(B762="Acquisto",B762="Vendita"),COUNTIFS($C$5:C762,C762,$B$5:B762,"Acquisto")+COUNTIFS($C$5:C762,C762,$B$5:B762,"Vendita"),"")</f>
        <v/>
      </c>
      <c r="O762" t="str">
        <f>IF(N762="","",C762&amp;"|"&amp;N762)</f>
        <v/>
      </c>
      <c r="P762" t="str">
        <f>IF(N762="","",IF(N762=1,0,MATCH(C762&amp;"|"&amp;(N762-1),$O$5:$O$1004,0)))</f>
        <v/>
      </c>
      <c r="Q762" t="str">
        <f>IF(N762="","",IF(P762=0,SUMIFS(Calcoli!$C$7:$C$21,Calcoli!$A$7:$A$21,C762),INDEX($S$5:$S$1004,P762)))</f>
        <v/>
      </c>
      <c r="R762" t="str">
        <f>IF(N762="","",IF(P762=0,SUMIFS(Calcoli!$D$7:$D$21,Calcoli!$A$7:$A$21,C762),INDEX($T$5:$T$1004,P762)))</f>
        <v/>
      </c>
      <c r="S762" t="str">
        <f>IF(N762="","",IF(B762="Acquisto",Q762+N(D762),MAX(0,Q762-N(D762))))</f>
        <v/>
      </c>
      <c r="T762" t="str">
        <f>IF(N762="","",IF(B762="Acquisto",R762+J762+N(G762),IF(Q762&lt;=0,0,R762*(1-MIN(1,N(D762)/Q762)))))</f>
        <v/>
      </c>
      <c r="U762" t="str">
        <f>IF(B762&lt;&gt;"Vendita","",J762-N(G762)-IF(Q762&lt;=0,0,R762*MIN(1,N(D762)/Q762)))</f>
        <v/>
      </c>
      <c r="V762" t="str">
        <f>IF(B762&lt;&gt;"Dividendo","",IF(Calcoli!$B$251=1,J762,L762))</f>
        <v/>
      </c>
      <c r="W762" t="str">
        <f>IF(AND(V762&lt;&gt;"",ISNUMBER(A762)),A762,"")</f>
        <v/>
      </c>
    </row>
    <row r="763">
      <c r="A763" s="134" t="n"/>
      <c r="B763" s="116" t="n"/>
      <c r="C763" s="116" t="n"/>
      <c r="D763" s="121" t="n"/>
      <c r="E763" s="120" t="n"/>
      <c r="F763" s="120" t="n"/>
      <c r="G763" s="120" t="n"/>
      <c r="H763" s="120" t="n"/>
      <c r="I763" s="117" t="n"/>
      <c r="J763" s="123" t="str">
        <f>IF(B763="","",IF(F763&lt;&gt;"",N(F763),ROUND(N(D763)*N(E763),2)))</f>
        <v/>
      </c>
      <c r="K763" s="123" t="str">
        <f>IF(B763="","",IF(H763&lt;&gt;"",N(H763),IF(B763="Dividendo",ROUND(J763*IFERROR(INDEX(Calcoli!$V$7:$V$21,MATCH(C763,Calcoli!$A$7:$A$21,0)),0.26),2),IF(B763="Vendita",ROUND(MAX(0,U763)*IFERROR(INDEX(Calcoli!$V$7:$V$21,MATCH(C763,Calcoli!$A$7:$A$21,0)),0.26),2),0))))</f>
        <v/>
      </c>
      <c r="L763" s="135" t="str">
        <f>IF(B763="","",IF(B763="Acquisto",-(J763+N(G763)),J763-N(G763)-K763))</f>
        <v/>
      </c>
      <c r="M763" s="127" t="str">
        <f>IF(B763="","",IF(ISNA(MATCH(C763,ETF!$A$7:$A$21,0)),"ETF?",IF(NOT(ISNUMBER(A763)),"Data?",IF(AND(B763&lt;&gt;"Dividendo",N(D763)&lt;=0),"Quote?",IF(AND(B763="Vendita",N(D763)&gt;N(Q763)+0.000001),"Quote?",IF(J763&lt;=0,"Importo?","✓"))))))</f>
        <v/>
      </c>
      <c r="N763" t="str">
        <f>IF(OR(B763="Acquisto",B763="Vendita"),COUNTIFS($C$5:C763,C763,$B$5:B763,"Acquisto")+COUNTIFS($C$5:C763,C763,$B$5:B763,"Vendita"),"")</f>
        <v/>
      </c>
      <c r="O763" t="str">
        <f>IF(N763="","",C763&amp;"|"&amp;N763)</f>
        <v/>
      </c>
      <c r="P763" t="str">
        <f>IF(N763="","",IF(N763=1,0,MATCH(C763&amp;"|"&amp;(N763-1),$O$5:$O$1004,0)))</f>
        <v/>
      </c>
      <c r="Q763" t="str">
        <f>IF(N763="","",IF(P763=0,SUMIFS(Calcoli!$C$7:$C$21,Calcoli!$A$7:$A$21,C763),INDEX($S$5:$S$1004,P763)))</f>
        <v/>
      </c>
      <c r="R763" t="str">
        <f>IF(N763="","",IF(P763=0,SUMIFS(Calcoli!$D$7:$D$21,Calcoli!$A$7:$A$21,C763),INDEX($T$5:$T$1004,P763)))</f>
        <v/>
      </c>
      <c r="S763" t="str">
        <f>IF(N763="","",IF(B763="Acquisto",Q763+N(D763),MAX(0,Q763-N(D763))))</f>
        <v/>
      </c>
      <c r="T763" t="str">
        <f>IF(N763="","",IF(B763="Acquisto",R763+J763+N(G763),IF(Q763&lt;=0,0,R763*(1-MIN(1,N(D763)/Q763)))))</f>
        <v/>
      </c>
      <c r="U763" t="str">
        <f>IF(B763&lt;&gt;"Vendita","",J763-N(G763)-IF(Q763&lt;=0,0,R763*MIN(1,N(D763)/Q763)))</f>
        <v/>
      </c>
      <c r="V763" t="str">
        <f>IF(B763&lt;&gt;"Dividendo","",IF(Calcoli!$B$251=1,J763,L763))</f>
        <v/>
      </c>
      <c r="W763" t="str">
        <f>IF(AND(V763&lt;&gt;"",ISNUMBER(A763)),A763,"")</f>
        <v/>
      </c>
    </row>
    <row r="764">
      <c r="A764" s="134" t="n"/>
      <c r="B764" s="116" t="n"/>
      <c r="C764" s="116" t="n"/>
      <c r="D764" s="121" t="n"/>
      <c r="E764" s="120" t="n"/>
      <c r="F764" s="120" t="n"/>
      <c r="G764" s="120" t="n"/>
      <c r="H764" s="120" t="n"/>
      <c r="I764" s="117" t="n"/>
      <c r="J764" s="123" t="str">
        <f>IF(B764="","",IF(F764&lt;&gt;"",N(F764),ROUND(N(D764)*N(E764),2)))</f>
        <v/>
      </c>
      <c r="K764" s="123" t="str">
        <f>IF(B764="","",IF(H764&lt;&gt;"",N(H764),IF(B764="Dividendo",ROUND(J764*IFERROR(INDEX(Calcoli!$V$7:$V$21,MATCH(C764,Calcoli!$A$7:$A$21,0)),0.26),2),IF(B764="Vendita",ROUND(MAX(0,U764)*IFERROR(INDEX(Calcoli!$V$7:$V$21,MATCH(C764,Calcoli!$A$7:$A$21,0)),0.26),2),0))))</f>
        <v/>
      </c>
      <c r="L764" s="135" t="str">
        <f>IF(B764="","",IF(B764="Acquisto",-(J764+N(G764)),J764-N(G764)-K764))</f>
        <v/>
      </c>
      <c r="M764" s="127" t="str">
        <f>IF(B764="","",IF(ISNA(MATCH(C764,ETF!$A$7:$A$21,0)),"ETF?",IF(NOT(ISNUMBER(A764)),"Data?",IF(AND(B764&lt;&gt;"Dividendo",N(D764)&lt;=0),"Quote?",IF(AND(B764="Vendita",N(D764)&gt;N(Q764)+0.000001),"Quote?",IF(J764&lt;=0,"Importo?","✓"))))))</f>
        <v/>
      </c>
      <c r="N764" t="str">
        <f>IF(OR(B764="Acquisto",B764="Vendita"),COUNTIFS($C$5:C764,C764,$B$5:B764,"Acquisto")+COUNTIFS($C$5:C764,C764,$B$5:B764,"Vendita"),"")</f>
        <v/>
      </c>
      <c r="O764" t="str">
        <f>IF(N764="","",C764&amp;"|"&amp;N764)</f>
        <v/>
      </c>
      <c r="P764" t="str">
        <f>IF(N764="","",IF(N764=1,0,MATCH(C764&amp;"|"&amp;(N764-1),$O$5:$O$1004,0)))</f>
        <v/>
      </c>
      <c r="Q764" t="str">
        <f>IF(N764="","",IF(P764=0,SUMIFS(Calcoli!$C$7:$C$21,Calcoli!$A$7:$A$21,C764),INDEX($S$5:$S$1004,P764)))</f>
        <v/>
      </c>
      <c r="R764" t="str">
        <f>IF(N764="","",IF(P764=0,SUMIFS(Calcoli!$D$7:$D$21,Calcoli!$A$7:$A$21,C764),INDEX($T$5:$T$1004,P764)))</f>
        <v/>
      </c>
      <c r="S764" t="str">
        <f>IF(N764="","",IF(B764="Acquisto",Q764+N(D764),MAX(0,Q764-N(D764))))</f>
        <v/>
      </c>
      <c r="T764" t="str">
        <f>IF(N764="","",IF(B764="Acquisto",R764+J764+N(G764),IF(Q764&lt;=0,0,R764*(1-MIN(1,N(D764)/Q764)))))</f>
        <v/>
      </c>
      <c r="U764" t="str">
        <f>IF(B764&lt;&gt;"Vendita","",J764-N(G764)-IF(Q764&lt;=0,0,R764*MIN(1,N(D764)/Q764)))</f>
        <v/>
      </c>
      <c r="V764" t="str">
        <f>IF(B764&lt;&gt;"Dividendo","",IF(Calcoli!$B$251=1,J764,L764))</f>
        <v/>
      </c>
      <c r="W764" t="str">
        <f>IF(AND(V764&lt;&gt;"",ISNUMBER(A764)),A764,"")</f>
        <v/>
      </c>
    </row>
    <row r="765">
      <c r="A765" s="134" t="n"/>
      <c r="B765" s="116" t="n"/>
      <c r="C765" s="116" t="n"/>
      <c r="D765" s="121" t="n"/>
      <c r="E765" s="120" t="n"/>
      <c r="F765" s="120" t="n"/>
      <c r="G765" s="120" t="n"/>
      <c r="H765" s="120" t="n"/>
      <c r="I765" s="117" t="n"/>
      <c r="J765" s="123" t="str">
        <f>IF(B765="","",IF(F765&lt;&gt;"",N(F765),ROUND(N(D765)*N(E765),2)))</f>
        <v/>
      </c>
      <c r="K765" s="123" t="str">
        <f>IF(B765="","",IF(H765&lt;&gt;"",N(H765),IF(B765="Dividendo",ROUND(J765*IFERROR(INDEX(Calcoli!$V$7:$V$21,MATCH(C765,Calcoli!$A$7:$A$21,0)),0.26),2),IF(B765="Vendita",ROUND(MAX(0,U765)*IFERROR(INDEX(Calcoli!$V$7:$V$21,MATCH(C765,Calcoli!$A$7:$A$21,0)),0.26),2),0))))</f>
        <v/>
      </c>
      <c r="L765" s="135" t="str">
        <f>IF(B765="","",IF(B765="Acquisto",-(J765+N(G765)),J765-N(G765)-K765))</f>
        <v/>
      </c>
      <c r="M765" s="127" t="str">
        <f>IF(B765="","",IF(ISNA(MATCH(C765,ETF!$A$7:$A$21,0)),"ETF?",IF(NOT(ISNUMBER(A765)),"Data?",IF(AND(B765&lt;&gt;"Dividendo",N(D765)&lt;=0),"Quote?",IF(AND(B765="Vendita",N(D765)&gt;N(Q765)+0.000001),"Quote?",IF(J765&lt;=0,"Importo?","✓"))))))</f>
        <v/>
      </c>
      <c r="N765" t="str">
        <f>IF(OR(B765="Acquisto",B765="Vendita"),COUNTIFS($C$5:C765,C765,$B$5:B765,"Acquisto")+COUNTIFS($C$5:C765,C765,$B$5:B765,"Vendita"),"")</f>
        <v/>
      </c>
      <c r="O765" t="str">
        <f>IF(N765="","",C765&amp;"|"&amp;N765)</f>
        <v/>
      </c>
      <c r="P765" t="str">
        <f>IF(N765="","",IF(N765=1,0,MATCH(C765&amp;"|"&amp;(N765-1),$O$5:$O$1004,0)))</f>
        <v/>
      </c>
      <c r="Q765" t="str">
        <f>IF(N765="","",IF(P765=0,SUMIFS(Calcoli!$C$7:$C$21,Calcoli!$A$7:$A$21,C765),INDEX($S$5:$S$1004,P765)))</f>
        <v/>
      </c>
      <c r="R765" t="str">
        <f>IF(N765="","",IF(P765=0,SUMIFS(Calcoli!$D$7:$D$21,Calcoli!$A$7:$A$21,C765),INDEX($T$5:$T$1004,P765)))</f>
        <v/>
      </c>
      <c r="S765" t="str">
        <f>IF(N765="","",IF(B765="Acquisto",Q765+N(D765),MAX(0,Q765-N(D765))))</f>
        <v/>
      </c>
      <c r="T765" t="str">
        <f>IF(N765="","",IF(B765="Acquisto",R765+J765+N(G765),IF(Q765&lt;=0,0,R765*(1-MIN(1,N(D765)/Q765)))))</f>
        <v/>
      </c>
      <c r="U765" t="str">
        <f>IF(B765&lt;&gt;"Vendita","",J765-N(G765)-IF(Q765&lt;=0,0,R765*MIN(1,N(D765)/Q765)))</f>
        <v/>
      </c>
      <c r="V765" t="str">
        <f>IF(B765&lt;&gt;"Dividendo","",IF(Calcoli!$B$251=1,J765,L765))</f>
        <v/>
      </c>
      <c r="W765" t="str">
        <f>IF(AND(V765&lt;&gt;"",ISNUMBER(A765)),A765,"")</f>
        <v/>
      </c>
    </row>
    <row r="766">
      <c r="A766" s="134" t="n"/>
      <c r="B766" s="116" t="n"/>
      <c r="C766" s="116" t="n"/>
      <c r="D766" s="121" t="n"/>
      <c r="E766" s="120" t="n"/>
      <c r="F766" s="120" t="n"/>
      <c r="G766" s="120" t="n"/>
      <c r="H766" s="120" t="n"/>
      <c r="I766" s="117" t="n"/>
      <c r="J766" s="123" t="str">
        <f>IF(B766="","",IF(F766&lt;&gt;"",N(F766),ROUND(N(D766)*N(E766),2)))</f>
        <v/>
      </c>
      <c r="K766" s="123" t="str">
        <f>IF(B766="","",IF(H766&lt;&gt;"",N(H766),IF(B766="Dividendo",ROUND(J766*IFERROR(INDEX(Calcoli!$V$7:$V$21,MATCH(C766,Calcoli!$A$7:$A$21,0)),0.26),2),IF(B766="Vendita",ROUND(MAX(0,U766)*IFERROR(INDEX(Calcoli!$V$7:$V$21,MATCH(C766,Calcoli!$A$7:$A$21,0)),0.26),2),0))))</f>
        <v/>
      </c>
      <c r="L766" s="135" t="str">
        <f>IF(B766="","",IF(B766="Acquisto",-(J766+N(G766)),J766-N(G766)-K766))</f>
        <v/>
      </c>
      <c r="M766" s="127" t="str">
        <f>IF(B766="","",IF(ISNA(MATCH(C766,ETF!$A$7:$A$21,0)),"ETF?",IF(NOT(ISNUMBER(A766)),"Data?",IF(AND(B766&lt;&gt;"Dividendo",N(D766)&lt;=0),"Quote?",IF(AND(B766="Vendita",N(D766)&gt;N(Q766)+0.000001),"Quote?",IF(J766&lt;=0,"Importo?","✓"))))))</f>
        <v/>
      </c>
      <c r="N766" t="str">
        <f>IF(OR(B766="Acquisto",B766="Vendita"),COUNTIFS($C$5:C766,C766,$B$5:B766,"Acquisto")+COUNTIFS($C$5:C766,C766,$B$5:B766,"Vendita"),"")</f>
        <v/>
      </c>
      <c r="O766" t="str">
        <f>IF(N766="","",C766&amp;"|"&amp;N766)</f>
        <v/>
      </c>
      <c r="P766" t="str">
        <f>IF(N766="","",IF(N766=1,0,MATCH(C766&amp;"|"&amp;(N766-1),$O$5:$O$1004,0)))</f>
        <v/>
      </c>
      <c r="Q766" t="str">
        <f>IF(N766="","",IF(P766=0,SUMIFS(Calcoli!$C$7:$C$21,Calcoli!$A$7:$A$21,C766),INDEX($S$5:$S$1004,P766)))</f>
        <v/>
      </c>
      <c r="R766" t="str">
        <f>IF(N766="","",IF(P766=0,SUMIFS(Calcoli!$D$7:$D$21,Calcoli!$A$7:$A$21,C766),INDEX($T$5:$T$1004,P766)))</f>
        <v/>
      </c>
      <c r="S766" t="str">
        <f>IF(N766="","",IF(B766="Acquisto",Q766+N(D766),MAX(0,Q766-N(D766))))</f>
        <v/>
      </c>
      <c r="T766" t="str">
        <f>IF(N766="","",IF(B766="Acquisto",R766+J766+N(G766),IF(Q766&lt;=0,0,R766*(1-MIN(1,N(D766)/Q766)))))</f>
        <v/>
      </c>
      <c r="U766" t="str">
        <f>IF(B766&lt;&gt;"Vendita","",J766-N(G766)-IF(Q766&lt;=0,0,R766*MIN(1,N(D766)/Q766)))</f>
        <v/>
      </c>
      <c r="V766" t="str">
        <f>IF(B766&lt;&gt;"Dividendo","",IF(Calcoli!$B$251=1,J766,L766))</f>
        <v/>
      </c>
      <c r="W766" t="str">
        <f>IF(AND(V766&lt;&gt;"",ISNUMBER(A766)),A766,"")</f>
        <v/>
      </c>
    </row>
    <row r="767">
      <c r="A767" s="134" t="n"/>
      <c r="B767" s="116" t="n"/>
      <c r="C767" s="116" t="n"/>
      <c r="D767" s="121" t="n"/>
      <c r="E767" s="120" t="n"/>
      <c r="F767" s="120" t="n"/>
      <c r="G767" s="120" t="n"/>
      <c r="H767" s="120" t="n"/>
      <c r="I767" s="117" t="n"/>
      <c r="J767" s="123" t="str">
        <f>IF(B767="","",IF(F767&lt;&gt;"",N(F767),ROUND(N(D767)*N(E767),2)))</f>
        <v/>
      </c>
      <c r="K767" s="123" t="str">
        <f>IF(B767="","",IF(H767&lt;&gt;"",N(H767),IF(B767="Dividendo",ROUND(J767*IFERROR(INDEX(Calcoli!$V$7:$V$21,MATCH(C767,Calcoli!$A$7:$A$21,0)),0.26),2),IF(B767="Vendita",ROUND(MAX(0,U767)*IFERROR(INDEX(Calcoli!$V$7:$V$21,MATCH(C767,Calcoli!$A$7:$A$21,0)),0.26),2),0))))</f>
        <v/>
      </c>
      <c r="L767" s="135" t="str">
        <f>IF(B767="","",IF(B767="Acquisto",-(J767+N(G767)),J767-N(G767)-K767))</f>
        <v/>
      </c>
      <c r="M767" s="127" t="str">
        <f>IF(B767="","",IF(ISNA(MATCH(C767,ETF!$A$7:$A$21,0)),"ETF?",IF(NOT(ISNUMBER(A767)),"Data?",IF(AND(B767&lt;&gt;"Dividendo",N(D767)&lt;=0),"Quote?",IF(AND(B767="Vendita",N(D767)&gt;N(Q767)+0.000001),"Quote?",IF(J767&lt;=0,"Importo?","✓"))))))</f>
        <v/>
      </c>
      <c r="N767" t="str">
        <f>IF(OR(B767="Acquisto",B767="Vendita"),COUNTIFS($C$5:C767,C767,$B$5:B767,"Acquisto")+COUNTIFS($C$5:C767,C767,$B$5:B767,"Vendita"),"")</f>
        <v/>
      </c>
      <c r="O767" t="str">
        <f>IF(N767="","",C767&amp;"|"&amp;N767)</f>
        <v/>
      </c>
      <c r="P767" t="str">
        <f>IF(N767="","",IF(N767=1,0,MATCH(C767&amp;"|"&amp;(N767-1),$O$5:$O$1004,0)))</f>
        <v/>
      </c>
      <c r="Q767" t="str">
        <f>IF(N767="","",IF(P767=0,SUMIFS(Calcoli!$C$7:$C$21,Calcoli!$A$7:$A$21,C767),INDEX($S$5:$S$1004,P767)))</f>
        <v/>
      </c>
      <c r="R767" t="str">
        <f>IF(N767="","",IF(P767=0,SUMIFS(Calcoli!$D$7:$D$21,Calcoli!$A$7:$A$21,C767),INDEX($T$5:$T$1004,P767)))</f>
        <v/>
      </c>
      <c r="S767" t="str">
        <f>IF(N767="","",IF(B767="Acquisto",Q767+N(D767),MAX(0,Q767-N(D767))))</f>
        <v/>
      </c>
      <c r="T767" t="str">
        <f>IF(N767="","",IF(B767="Acquisto",R767+J767+N(G767),IF(Q767&lt;=0,0,R767*(1-MIN(1,N(D767)/Q767)))))</f>
        <v/>
      </c>
      <c r="U767" t="str">
        <f>IF(B767&lt;&gt;"Vendita","",J767-N(G767)-IF(Q767&lt;=0,0,R767*MIN(1,N(D767)/Q767)))</f>
        <v/>
      </c>
      <c r="V767" t="str">
        <f>IF(B767&lt;&gt;"Dividendo","",IF(Calcoli!$B$251=1,J767,L767))</f>
        <v/>
      </c>
      <c r="W767" t="str">
        <f>IF(AND(V767&lt;&gt;"",ISNUMBER(A767)),A767,"")</f>
        <v/>
      </c>
    </row>
    <row r="768">
      <c r="A768" s="134" t="n"/>
      <c r="B768" s="116" t="n"/>
      <c r="C768" s="116" t="n"/>
      <c r="D768" s="121" t="n"/>
      <c r="E768" s="120" t="n"/>
      <c r="F768" s="120" t="n"/>
      <c r="G768" s="120" t="n"/>
      <c r="H768" s="120" t="n"/>
      <c r="I768" s="117" t="n"/>
      <c r="J768" s="123" t="str">
        <f>IF(B768="","",IF(F768&lt;&gt;"",N(F768),ROUND(N(D768)*N(E768),2)))</f>
        <v/>
      </c>
      <c r="K768" s="123" t="str">
        <f>IF(B768="","",IF(H768&lt;&gt;"",N(H768),IF(B768="Dividendo",ROUND(J768*IFERROR(INDEX(Calcoli!$V$7:$V$21,MATCH(C768,Calcoli!$A$7:$A$21,0)),0.26),2),IF(B768="Vendita",ROUND(MAX(0,U768)*IFERROR(INDEX(Calcoli!$V$7:$V$21,MATCH(C768,Calcoli!$A$7:$A$21,0)),0.26),2),0))))</f>
        <v/>
      </c>
      <c r="L768" s="135" t="str">
        <f>IF(B768="","",IF(B768="Acquisto",-(J768+N(G768)),J768-N(G768)-K768))</f>
        <v/>
      </c>
      <c r="M768" s="127" t="str">
        <f>IF(B768="","",IF(ISNA(MATCH(C768,ETF!$A$7:$A$21,0)),"ETF?",IF(NOT(ISNUMBER(A768)),"Data?",IF(AND(B768&lt;&gt;"Dividendo",N(D768)&lt;=0),"Quote?",IF(AND(B768="Vendita",N(D768)&gt;N(Q768)+0.000001),"Quote?",IF(J768&lt;=0,"Importo?","✓"))))))</f>
        <v/>
      </c>
      <c r="N768" t="str">
        <f>IF(OR(B768="Acquisto",B768="Vendita"),COUNTIFS($C$5:C768,C768,$B$5:B768,"Acquisto")+COUNTIFS($C$5:C768,C768,$B$5:B768,"Vendita"),"")</f>
        <v/>
      </c>
      <c r="O768" t="str">
        <f>IF(N768="","",C768&amp;"|"&amp;N768)</f>
        <v/>
      </c>
      <c r="P768" t="str">
        <f>IF(N768="","",IF(N768=1,0,MATCH(C768&amp;"|"&amp;(N768-1),$O$5:$O$1004,0)))</f>
        <v/>
      </c>
      <c r="Q768" t="str">
        <f>IF(N768="","",IF(P768=0,SUMIFS(Calcoli!$C$7:$C$21,Calcoli!$A$7:$A$21,C768),INDEX($S$5:$S$1004,P768)))</f>
        <v/>
      </c>
      <c r="R768" t="str">
        <f>IF(N768="","",IF(P768=0,SUMIFS(Calcoli!$D$7:$D$21,Calcoli!$A$7:$A$21,C768),INDEX($T$5:$T$1004,P768)))</f>
        <v/>
      </c>
      <c r="S768" t="str">
        <f>IF(N768="","",IF(B768="Acquisto",Q768+N(D768),MAX(0,Q768-N(D768))))</f>
        <v/>
      </c>
      <c r="T768" t="str">
        <f>IF(N768="","",IF(B768="Acquisto",R768+J768+N(G768),IF(Q768&lt;=0,0,R768*(1-MIN(1,N(D768)/Q768)))))</f>
        <v/>
      </c>
      <c r="U768" t="str">
        <f>IF(B768&lt;&gt;"Vendita","",J768-N(G768)-IF(Q768&lt;=0,0,R768*MIN(1,N(D768)/Q768)))</f>
        <v/>
      </c>
      <c r="V768" t="str">
        <f>IF(B768&lt;&gt;"Dividendo","",IF(Calcoli!$B$251=1,J768,L768))</f>
        <v/>
      </c>
      <c r="W768" t="str">
        <f>IF(AND(V768&lt;&gt;"",ISNUMBER(A768)),A768,"")</f>
        <v/>
      </c>
    </row>
    <row r="769">
      <c r="A769" s="134" t="n"/>
      <c r="B769" s="116" t="n"/>
      <c r="C769" s="116" t="n"/>
      <c r="D769" s="121" t="n"/>
      <c r="E769" s="120" t="n"/>
      <c r="F769" s="120" t="n"/>
      <c r="G769" s="120" t="n"/>
      <c r="H769" s="120" t="n"/>
      <c r="I769" s="117" t="n"/>
      <c r="J769" s="123" t="str">
        <f>IF(B769="","",IF(F769&lt;&gt;"",N(F769),ROUND(N(D769)*N(E769),2)))</f>
        <v/>
      </c>
      <c r="K769" s="123" t="str">
        <f>IF(B769="","",IF(H769&lt;&gt;"",N(H769),IF(B769="Dividendo",ROUND(J769*IFERROR(INDEX(Calcoli!$V$7:$V$21,MATCH(C769,Calcoli!$A$7:$A$21,0)),0.26),2),IF(B769="Vendita",ROUND(MAX(0,U769)*IFERROR(INDEX(Calcoli!$V$7:$V$21,MATCH(C769,Calcoli!$A$7:$A$21,0)),0.26),2),0))))</f>
        <v/>
      </c>
      <c r="L769" s="135" t="str">
        <f>IF(B769="","",IF(B769="Acquisto",-(J769+N(G769)),J769-N(G769)-K769))</f>
        <v/>
      </c>
      <c r="M769" s="127" t="str">
        <f>IF(B769="","",IF(ISNA(MATCH(C769,ETF!$A$7:$A$21,0)),"ETF?",IF(NOT(ISNUMBER(A769)),"Data?",IF(AND(B769&lt;&gt;"Dividendo",N(D769)&lt;=0),"Quote?",IF(AND(B769="Vendita",N(D769)&gt;N(Q769)+0.000001),"Quote?",IF(J769&lt;=0,"Importo?","✓"))))))</f>
        <v/>
      </c>
      <c r="N769" t="str">
        <f>IF(OR(B769="Acquisto",B769="Vendita"),COUNTIFS($C$5:C769,C769,$B$5:B769,"Acquisto")+COUNTIFS($C$5:C769,C769,$B$5:B769,"Vendita"),"")</f>
        <v/>
      </c>
      <c r="O769" t="str">
        <f>IF(N769="","",C769&amp;"|"&amp;N769)</f>
        <v/>
      </c>
      <c r="P769" t="str">
        <f>IF(N769="","",IF(N769=1,0,MATCH(C769&amp;"|"&amp;(N769-1),$O$5:$O$1004,0)))</f>
        <v/>
      </c>
      <c r="Q769" t="str">
        <f>IF(N769="","",IF(P769=0,SUMIFS(Calcoli!$C$7:$C$21,Calcoli!$A$7:$A$21,C769),INDEX($S$5:$S$1004,P769)))</f>
        <v/>
      </c>
      <c r="R769" t="str">
        <f>IF(N769="","",IF(P769=0,SUMIFS(Calcoli!$D$7:$D$21,Calcoli!$A$7:$A$21,C769),INDEX($T$5:$T$1004,P769)))</f>
        <v/>
      </c>
      <c r="S769" t="str">
        <f>IF(N769="","",IF(B769="Acquisto",Q769+N(D769),MAX(0,Q769-N(D769))))</f>
        <v/>
      </c>
      <c r="T769" t="str">
        <f>IF(N769="","",IF(B769="Acquisto",R769+J769+N(G769),IF(Q769&lt;=0,0,R769*(1-MIN(1,N(D769)/Q769)))))</f>
        <v/>
      </c>
      <c r="U769" t="str">
        <f>IF(B769&lt;&gt;"Vendita","",J769-N(G769)-IF(Q769&lt;=0,0,R769*MIN(1,N(D769)/Q769)))</f>
        <v/>
      </c>
      <c r="V769" t="str">
        <f>IF(B769&lt;&gt;"Dividendo","",IF(Calcoli!$B$251=1,J769,L769))</f>
        <v/>
      </c>
      <c r="W769" t="str">
        <f>IF(AND(V769&lt;&gt;"",ISNUMBER(A769)),A769,"")</f>
        <v/>
      </c>
    </row>
    <row r="770">
      <c r="A770" s="134" t="n"/>
      <c r="B770" s="116" t="n"/>
      <c r="C770" s="116" t="n"/>
      <c r="D770" s="121" t="n"/>
      <c r="E770" s="120" t="n"/>
      <c r="F770" s="120" t="n"/>
      <c r="G770" s="120" t="n"/>
      <c r="H770" s="120" t="n"/>
      <c r="I770" s="117" t="n"/>
      <c r="J770" s="123" t="str">
        <f>IF(B770="","",IF(F770&lt;&gt;"",N(F770),ROUND(N(D770)*N(E770),2)))</f>
        <v/>
      </c>
      <c r="K770" s="123" t="str">
        <f>IF(B770="","",IF(H770&lt;&gt;"",N(H770),IF(B770="Dividendo",ROUND(J770*IFERROR(INDEX(Calcoli!$V$7:$V$21,MATCH(C770,Calcoli!$A$7:$A$21,0)),0.26),2),IF(B770="Vendita",ROUND(MAX(0,U770)*IFERROR(INDEX(Calcoli!$V$7:$V$21,MATCH(C770,Calcoli!$A$7:$A$21,0)),0.26),2),0))))</f>
        <v/>
      </c>
      <c r="L770" s="135" t="str">
        <f>IF(B770="","",IF(B770="Acquisto",-(J770+N(G770)),J770-N(G770)-K770))</f>
        <v/>
      </c>
      <c r="M770" s="127" t="str">
        <f>IF(B770="","",IF(ISNA(MATCH(C770,ETF!$A$7:$A$21,0)),"ETF?",IF(NOT(ISNUMBER(A770)),"Data?",IF(AND(B770&lt;&gt;"Dividendo",N(D770)&lt;=0),"Quote?",IF(AND(B770="Vendita",N(D770)&gt;N(Q770)+0.000001),"Quote?",IF(J770&lt;=0,"Importo?","✓"))))))</f>
        <v/>
      </c>
      <c r="N770" t="str">
        <f>IF(OR(B770="Acquisto",B770="Vendita"),COUNTIFS($C$5:C770,C770,$B$5:B770,"Acquisto")+COUNTIFS($C$5:C770,C770,$B$5:B770,"Vendita"),"")</f>
        <v/>
      </c>
      <c r="O770" t="str">
        <f>IF(N770="","",C770&amp;"|"&amp;N770)</f>
        <v/>
      </c>
      <c r="P770" t="str">
        <f>IF(N770="","",IF(N770=1,0,MATCH(C770&amp;"|"&amp;(N770-1),$O$5:$O$1004,0)))</f>
        <v/>
      </c>
      <c r="Q770" t="str">
        <f>IF(N770="","",IF(P770=0,SUMIFS(Calcoli!$C$7:$C$21,Calcoli!$A$7:$A$21,C770),INDEX($S$5:$S$1004,P770)))</f>
        <v/>
      </c>
      <c r="R770" t="str">
        <f>IF(N770="","",IF(P770=0,SUMIFS(Calcoli!$D$7:$D$21,Calcoli!$A$7:$A$21,C770),INDEX($T$5:$T$1004,P770)))</f>
        <v/>
      </c>
      <c r="S770" t="str">
        <f>IF(N770="","",IF(B770="Acquisto",Q770+N(D770),MAX(0,Q770-N(D770))))</f>
        <v/>
      </c>
      <c r="T770" t="str">
        <f>IF(N770="","",IF(B770="Acquisto",R770+J770+N(G770),IF(Q770&lt;=0,0,R770*(1-MIN(1,N(D770)/Q770)))))</f>
        <v/>
      </c>
      <c r="U770" t="str">
        <f>IF(B770&lt;&gt;"Vendita","",J770-N(G770)-IF(Q770&lt;=0,0,R770*MIN(1,N(D770)/Q770)))</f>
        <v/>
      </c>
      <c r="V770" t="str">
        <f>IF(B770&lt;&gt;"Dividendo","",IF(Calcoli!$B$251=1,J770,L770))</f>
        <v/>
      </c>
      <c r="W770" t="str">
        <f>IF(AND(V770&lt;&gt;"",ISNUMBER(A770)),A770,"")</f>
        <v/>
      </c>
    </row>
    <row r="771">
      <c r="A771" s="134" t="n"/>
      <c r="B771" s="116" t="n"/>
      <c r="C771" s="116" t="n"/>
      <c r="D771" s="121" t="n"/>
      <c r="E771" s="120" t="n"/>
      <c r="F771" s="120" t="n"/>
      <c r="G771" s="120" t="n"/>
      <c r="H771" s="120" t="n"/>
      <c r="I771" s="117" t="n"/>
      <c r="J771" s="123" t="str">
        <f>IF(B771="","",IF(F771&lt;&gt;"",N(F771),ROUND(N(D771)*N(E771),2)))</f>
        <v/>
      </c>
      <c r="K771" s="123" t="str">
        <f>IF(B771="","",IF(H771&lt;&gt;"",N(H771),IF(B771="Dividendo",ROUND(J771*IFERROR(INDEX(Calcoli!$V$7:$V$21,MATCH(C771,Calcoli!$A$7:$A$21,0)),0.26),2),IF(B771="Vendita",ROUND(MAX(0,U771)*IFERROR(INDEX(Calcoli!$V$7:$V$21,MATCH(C771,Calcoli!$A$7:$A$21,0)),0.26),2),0))))</f>
        <v/>
      </c>
      <c r="L771" s="135" t="str">
        <f>IF(B771="","",IF(B771="Acquisto",-(J771+N(G771)),J771-N(G771)-K771))</f>
        <v/>
      </c>
      <c r="M771" s="127" t="str">
        <f>IF(B771="","",IF(ISNA(MATCH(C771,ETF!$A$7:$A$21,0)),"ETF?",IF(NOT(ISNUMBER(A771)),"Data?",IF(AND(B771&lt;&gt;"Dividendo",N(D771)&lt;=0),"Quote?",IF(AND(B771="Vendita",N(D771)&gt;N(Q771)+0.000001),"Quote?",IF(J771&lt;=0,"Importo?","✓"))))))</f>
        <v/>
      </c>
      <c r="N771" t="str">
        <f>IF(OR(B771="Acquisto",B771="Vendita"),COUNTIFS($C$5:C771,C771,$B$5:B771,"Acquisto")+COUNTIFS($C$5:C771,C771,$B$5:B771,"Vendita"),"")</f>
        <v/>
      </c>
      <c r="O771" t="str">
        <f>IF(N771="","",C771&amp;"|"&amp;N771)</f>
        <v/>
      </c>
      <c r="P771" t="str">
        <f>IF(N771="","",IF(N771=1,0,MATCH(C771&amp;"|"&amp;(N771-1),$O$5:$O$1004,0)))</f>
        <v/>
      </c>
      <c r="Q771" t="str">
        <f>IF(N771="","",IF(P771=0,SUMIFS(Calcoli!$C$7:$C$21,Calcoli!$A$7:$A$21,C771),INDEX($S$5:$S$1004,P771)))</f>
        <v/>
      </c>
      <c r="R771" t="str">
        <f>IF(N771="","",IF(P771=0,SUMIFS(Calcoli!$D$7:$D$21,Calcoli!$A$7:$A$21,C771),INDEX($T$5:$T$1004,P771)))</f>
        <v/>
      </c>
      <c r="S771" t="str">
        <f>IF(N771="","",IF(B771="Acquisto",Q771+N(D771),MAX(0,Q771-N(D771))))</f>
        <v/>
      </c>
      <c r="T771" t="str">
        <f>IF(N771="","",IF(B771="Acquisto",R771+J771+N(G771),IF(Q771&lt;=0,0,R771*(1-MIN(1,N(D771)/Q771)))))</f>
        <v/>
      </c>
      <c r="U771" t="str">
        <f>IF(B771&lt;&gt;"Vendita","",J771-N(G771)-IF(Q771&lt;=0,0,R771*MIN(1,N(D771)/Q771)))</f>
        <v/>
      </c>
      <c r="V771" t="str">
        <f>IF(B771&lt;&gt;"Dividendo","",IF(Calcoli!$B$251=1,J771,L771))</f>
        <v/>
      </c>
      <c r="W771" t="str">
        <f>IF(AND(V771&lt;&gt;"",ISNUMBER(A771)),A771,"")</f>
        <v/>
      </c>
    </row>
    <row r="772">
      <c r="A772" s="134" t="n"/>
      <c r="B772" s="116" t="n"/>
      <c r="C772" s="116" t="n"/>
      <c r="D772" s="121" t="n"/>
      <c r="E772" s="120" t="n"/>
      <c r="F772" s="120" t="n"/>
      <c r="G772" s="120" t="n"/>
      <c r="H772" s="120" t="n"/>
      <c r="I772" s="117" t="n"/>
      <c r="J772" s="123" t="str">
        <f>IF(B772="","",IF(F772&lt;&gt;"",N(F772),ROUND(N(D772)*N(E772),2)))</f>
        <v/>
      </c>
      <c r="K772" s="123" t="str">
        <f>IF(B772="","",IF(H772&lt;&gt;"",N(H772),IF(B772="Dividendo",ROUND(J772*IFERROR(INDEX(Calcoli!$V$7:$V$21,MATCH(C772,Calcoli!$A$7:$A$21,0)),0.26),2),IF(B772="Vendita",ROUND(MAX(0,U772)*IFERROR(INDEX(Calcoli!$V$7:$V$21,MATCH(C772,Calcoli!$A$7:$A$21,0)),0.26),2),0))))</f>
        <v/>
      </c>
      <c r="L772" s="135" t="str">
        <f>IF(B772="","",IF(B772="Acquisto",-(J772+N(G772)),J772-N(G772)-K772))</f>
        <v/>
      </c>
      <c r="M772" s="127" t="str">
        <f>IF(B772="","",IF(ISNA(MATCH(C772,ETF!$A$7:$A$21,0)),"ETF?",IF(NOT(ISNUMBER(A772)),"Data?",IF(AND(B772&lt;&gt;"Dividendo",N(D772)&lt;=0),"Quote?",IF(AND(B772="Vendita",N(D772)&gt;N(Q772)+0.000001),"Quote?",IF(J772&lt;=0,"Importo?","✓"))))))</f>
        <v/>
      </c>
      <c r="N772" t="str">
        <f>IF(OR(B772="Acquisto",B772="Vendita"),COUNTIFS($C$5:C772,C772,$B$5:B772,"Acquisto")+COUNTIFS($C$5:C772,C772,$B$5:B772,"Vendita"),"")</f>
        <v/>
      </c>
      <c r="O772" t="str">
        <f>IF(N772="","",C772&amp;"|"&amp;N772)</f>
        <v/>
      </c>
      <c r="P772" t="str">
        <f>IF(N772="","",IF(N772=1,0,MATCH(C772&amp;"|"&amp;(N772-1),$O$5:$O$1004,0)))</f>
        <v/>
      </c>
      <c r="Q772" t="str">
        <f>IF(N772="","",IF(P772=0,SUMIFS(Calcoli!$C$7:$C$21,Calcoli!$A$7:$A$21,C772),INDEX($S$5:$S$1004,P772)))</f>
        <v/>
      </c>
      <c r="R772" t="str">
        <f>IF(N772="","",IF(P772=0,SUMIFS(Calcoli!$D$7:$D$21,Calcoli!$A$7:$A$21,C772),INDEX($T$5:$T$1004,P772)))</f>
        <v/>
      </c>
      <c r="S772" t="str">
        <f>IF(N772="","",IF(B772="Acquisto",Q772+N(D772),MAX(0,Q772-N(D772))))</f>
        <v/>
      </c>
      <c r="T772" t="str">
        <f>IF(N772="","",IF(B772="Acquisto",R772+J772+N(G772),IF(Q772&lt;=0,0,R772*(1-MIN(1,N(D772)/Q772)))))</f>
        <v/>
      </c>
      <c r="U772" t="str">
        <f>IF(B772&lt;&gt;"Vendita","",J772-N(G772)-IF(Q772&lt;=0,0,R772*MIN(1,N(D772)/Q772)))</f>
        <v/>
      </c>
      <c r="V772" t="str">
        <f>IF(B772&lt;&gt;"Dividendo","",IF(Calcoli!$B$251=1,J772,L772))</f>
        <v/>
      </c>
      <c r="W772" t="str">
        <f>IF(AND(V772&lt;&gt;"",ISNUMBER(A772)),A772,"")</f>
        <v/>
      </c>
    </row>
    <row r="773">
      <c r="A773" s="134" t="n"/>
      <c r="B773" s="116" t="n"/>
      <c r="C773" s="116" t="n"/>
      <c r="D773" s="121" t="n"/>
      <c r="E773" s="120" t="n"/>
      <c r="F773" s="120" t="n"/>
      <c r="G773" s="120" t="n"/>
      <c r="H773" s="120" t="n"/>
      <c r="I773" s="117" t="n"/>
      <c r="J773" s="123" t="str">
        <f>IF(B773="","",IF(F773&lt;&gt;"",N(F773),ROUND(N(D773)*N(E773),2)))</f>
        <v/>
      </c>
      <c r="K773" s="123" t="str">
        <f>IF(B773="","",IF(H773&lt;&gt;"",N(H773),IF(B773="Dividendo",ROUND(J773*IFERROR(INDEX(Calcoli!$V$7:$V$21,MATCH(C773,Calcoli!$A$7:$A$21,0)),0.26),2),IF(B773="Vendita",ROUND(MAX(0,U773)*IFERROR(INDEX(Calcoli!$V$7:$V$21,MATCH(C773,Calcoli!$A$7:$A$21,0)),0.26),2),0))))</f>
        <v/>
      </c>
      <c r="L773" s="135" t="str">
        <f>IF(B773="","",IF(B773="Acquisto",-(J773+N(G773)),J773-N(G773)-K773))</f>
        <v/>
      </c>
      <c r="M773" s="127" t="str">
        <f>IF(B773="","",IF(ISNA(MATCH(C773,ETF!$A$7:$A$21,0)),"ETF?",IF(NOT(ISNUMBER(A773)),"Data?",IF(AND(B773&lt;&gt;"Dividendo",N(D773)&lt;=0),"Quote?",IF(AND(B773="Vendita",N(D773)&gt;N(Q773)+0.000001),"Quote?",IF(J773&lt;=0,"Importo?","✓"))))))</f>
        <v/>
      </c>
      <c r="N773" t="str">
        <f>IF(OR(B773="Acquisto",B773="Vendita"),COUNTIFS($C$5:C773,C773,$B$5:B773,"Acquisto")+COUNTIFS($C$5:C773,C773,$B$5:B773,"Vendita"),"")</f>
        <v/>
      </c>
      <c r="O773" t="str">
        <f>IF(N773="","",C773&amp;"|"&amp;N773)</f>
        <v/>
      </c>
      <c r="P773" t="str">
        <f>IF(N773="","",IF(N773=1,0,MATCH(C773&amp;"|"&amp;(N773-1),$O$5:$O$1004,0)))</f>
        <v/>
      </c>
      <c r="Q773" t="str">
        <f>IF(N773="","",IF(P773=0,SUMIFS(Calcoli!$C$7:$C$21,Calcoli!$A$7:$A$21,C773),INDEX($S$5:$S$1004,P773)))</f>
        <v/>
      </c>
      <c r="R773" t="str">
        <f>IF(N773="","",IF(P773=0,SUMIFS(Calcoli!$D$7:$D$21,Calcoli!$A$7:$A$21,C773),INDEX($T$5:$T$1004,P773)))</f>
        <v/>
      </c>
      <c r="S773" t="str">
        <f>IF(N773="","",IF(B773="Acquisto",Q773+N(D773),MAX(0,Q773-N(D773))))</f>
        <v/>
      </c>
      <c r="T773" t="str">
        <f>IF(N773="","",IF(B773="Acquisto",R773+J773+N(G773),IF(Q773&lt;=0,0,R773*(1-MIN(1,N(D773)/Q773)))))</f>
        <v/>
      </c>
      <c r="U773" t="str">
        <f>IF(B773&lt;&gt;"Vendita","",J773-N(G773)-IF(Q773&lt;=0,0,R773*MIN(1,N(D773)/Q773)))</f>
        <v/>
      </c>
      <c r="V773" t="str">
        <f>IF(B773&lt;&gt;"Dividendo","",IF(Calcoli!$B$251=1,J773,L773))</f>
        <v/>
      </c>
      <c r="W773" t="str">
        <f>IF(AND(V773&lt;&gt;"",ISNUMBER(A773)),A773,"")</f>
        <v/>
      </c>
    </row>
    <row r="774">
      <c r="A774" s="134" t="n"/>
      <c r="B774" s="116" t="n"/>
      <c r="C774" s="116" t="n"/>
      <c r="D774" s="121" t="n"/>
      <c r="E774" s="120" t="n"/>
      <c r="F774" s="120" t="n"/>
      <c r="G774" s="120" t="n"/>
      <c r="H774" s="120" t="n"/>
      <c r="I774" s="117" t="n"/>
      <c r="J774" s="123" t="str">
        <f>IF(B774="","",IF(F774&lt;&gt;"",N(F774),ROUND(N(D774)*N(E774),2)))</f>
        <v/>
      </c>
      <c r="K774" s="123" t="str">
        <f>IF(B774="","",IF(H774&lt;&gt;"",N(H774),IF(B774="Dividendo",ROUND(J774*IFERROR(INDEX(Calcoli!$V$7:$V$21,MATCH(C774,Calcoli!$A$7:$A$21,0)),0.26),2),IF(B774="Vendita",ROUND(MAX(0,U774)*IFERROR(INDEX(Calcoli!$V$7:$V$21,MATCH(C774,Calcoli!$A$7:$A$21,0)),0.26),2),0))))</f>
        <v/>
      </c>
      <c r="L774" s="135" t="str">
        <f>IF(B774="","",IF(B774="Acquisto",-(J774+N(G774)),J774-N(G774)-K774))</f>
        <v/>
      </c>
      <c r="M774" s="127" t="str">
        <f>IF(B774="","",IF(ISNA(MATCH(C774,ETF!$A$7:$A$21,0)),"ETF?",IF(NOT(ISNUMBER(A774)),"Data?",IF(AND(B774&lt;&gt;"Dividendo",N(D774)&lt;=0),"Quote?",IF(AND(B774="Vendita",N(D774)&gt;N(Q774)+0.000001),"Quote?",IF(J774&lt;=0,"Importo?","✓"))))))</f>
        <v/>
      </c>
      <c r="N774" t="str">
        <f>IF(OR(B774="Acquisto",B774="Vendita"),COUNTIFS($C$5:C774,C774,$B$5:B774,"Acquisto")+COUNTIFS($C$5:C774,C774,$B$5:B774,"Vendita"),"")</f>
        <v/>
      </c>
      <c r="O774" t="str">
        <f>IF(N774="","",C774&amp;"|"&amp;N774)</f>
        <v/>
      </c>
      <c r="P774" t="str">
        <f>IF(N774="","",IF(N774=1,0,MATCH(C774&amp;"|"&amp;(N774-1),$O$5:$O$1004,0)))</f>
        <v/>
      </c>
      <c r="Q774" t="str">
        <f>IF(N774="","",IF(P774=0,SUMIFS(Calcoli!$C$7:$C$21,Calcoli!$A$7:$A$21,C774),INDEX($S$5:$S$1004,P774)))</f>
        <v/>
      </c>
      <c r="R774" t="str">
        <f>IF(N774="","",IF(P774=0,SUMIFS(Calcoli!$D$7:$D$21,Calcoli!$A$7:$A$21,C774),INDEX($T$5:$T$1004,P774)))</f>
        <v/>
      </c>
      <c r="S774" t="str">
        <f>IF(N774="","",IF(B774="Acquisto",Q774+N(D774),MAX(0,Q774-N(D774))))</f>
        <v/>
      </c>
      <c r="T774" t="str">
        <f>IF(N774="","",IF(B774="Acquisto",R774+J774+N(G774),IF(Q774&lt;=0,0,R774*(1-MIN(1,N(D774)/Q774)))))</f>
        <v/>
      </c>
      <c r="U774" t="str">
        <f>IF(B774&lt;&gt;"Vendita","",J774-N(G774)-IF(Q774&lt;=0,0,R774*MIN(1,N(D774)/Q774)))</f>
        <v/>
      </c>
      <c r="V774" t="str">
        <f>IF(B774&lt;&gt;"Dividendo","",IF(Calcoli!$B$251=1,J774,L774))</f>
        <v/>
      </c>
      <c r="W774" t="str">
        <f>IF(AND(V774&lt;&gt;"",ISNUMBER(A774)),A774,"")</f>
        <v/>
      </c>
    </row>
    <row r="775">
      <c r="A775" s="134" t="n"/>
      <c r="B775" s="116" t="n"/>
      <c r="C775" s="116" t="n"/>
      <c r="D775" s="121" t="n"/>
      <c r="E775" s="120" t="n"/>
      <c r="F775" s="120" t="n"/>
      <c r="G775" s="120" t="n"/>
      <c r="H775" s="120" t="n"/>
      <c r="I775" s="117" t="n"/>
      <c r="J775" s="123" t="str">
        <f>IF(B775="","",IF(F775&lt;&gt;"",N(F775),ROUND(N(D775)*N(E775),2)))</f>
        <v/>
      </c>
      <c r="K775" s="123" t="str">
        <f>IF(B775="","",IF(H775&lt;&gt;"",N(H775),IF(B775="Dividendo",ROUND(J775*IFERROR(INDEX(Calcoli!$V$7:$V$21,MATCH(C775,Calcoli!$A$7:$A$21,0)),0.26),2),IF(B775="Vendita",ROUND(MAX(0,U775)*IFERROR(INDEX(Calcoli!$V$7:$V$21,MATCH(C775,Calcoli!$A$7:$A$21,0)),0.26),2),0))))</f>
        <v/>
      </c>
      <c r="L775" s="135" t="str">
        <f>IF(B775="","",IF(B775="Acquisto",-(J775+N(G775)),J775-N(G775)-K775))</f>
        <v/>
      </c>
      <c r="M775" s="127" t="str">
        <f>IF(B775="","",IF(ISNA(MATCH(C775,ETF!$A$7:$A$21,0)),"ETF?",IF(NOT(ISNUMBER(A775)),"Data?",IF(AND(B775&lt;&gt;"Dividendo",N(D775)&lt;=0),"Quote?",IF(AND(B775="Vendita",N(D775)&gt;N(Q775)+0.000001),"Quote?",IF(J775&lt;=0,"Importo?","✓"))))))</f>
        <v/>
      </c>
      <c r="N775" t="str">
        <f>IF(OR(B775="Acquisto",B775="Vendita"),COUNTIFS($C$5:C775,C775,$B$5:B775,"Acquisto")+COUNTIFS($C$5:C775,C775,$B$5:B775,"Vendita"),"")</f>
        <v/>
      </c>
      <c r="O775" t="str">
        <f>IF(N775="","",C775&amp;"|"&amp;N775)</f>
        <v/>
      </c>
      <c r="P775" t="str">
        <f>IF(N775="","",IF(N775=1,0,MATCH(C775&amp;"|"&amp;(N775-1),$O$5:$O$1004,0)))</f>
        <v/>
      </c>
      <c r="Q775" t="str">
        <f>IF(N775="","",IF(P775=0,SUMIFS(Calcoli!$C$7:$C$21,Calcoli!$A$7:$A$21,C775),INDEX($S$5:$S$1004,P775)))</f>
        <v/>
      </c>
      <c r="R775" t="str">
        <f>IF(N775="","",IF(P775=0,SUMIFS(Calcoli!$D$7:$D$21,Calcoli!$A$7:$A$21,C775),INDEX($T$5:$T$1004,P775)))</f>
        <v/>
      </c>
      <c r="S775" t="str">
        <f>IF(N775="","",IF(B775="Acquisto",Q775+N(D775),MAX(0,Q775-N(D775))))</f>
        <v/>
      </c>
      <c r="T775" t="str">
        <f>IF(N775="","",IF(B775="Acquisto",R775+J775+N(G775),IF(Q775&lt;=0,0,R775*(1-MIN(1,N(D775)/Q775)))))</f>
        <v/>
      </c>
      <c r="U775" t="str">
        <f>IF(B775&lt;&gt;"Vendita","",J775-N(G775)-IF(Q775&lt;=0,0,R775*MIN(1,N(D775)/Q775)))</f>
        <v/>
      </c>
      <c r="V775" t="str">
        <f>IF(B775&lt;&gt;"Dividendo","",IF(Calcoli!$B$251=1,J775,L775))</f>
        <v/>
      </c>
      <c r="W775" t="str">
        <f>IF(AND(V775&lt;&gt;"",ISNUMBER(A775)),A775,"")</f>
        <v/>
      </c>
    </row>
    <row r="776">
      <c r="A776" s="134" t="n"/>
      <c r="B776" s="116" t="n"/>
      <c r="C776" s="116" t="n"/>
      <c r="D776" s="121" t="n"/>
      <c r="E776" s="120" t="n"/>
      <c r="F776" s="120" t="n"/>
      <c r="G776" s="120" t="n"/>
      <c r="H776" s="120" t="n"/>
      <c r="I776" s="117" t="n"/>
      <c r="J776" s="123" t="str">
        <f>IF(B776="","",IF(F776&lt;&gt;"",N(F776),ROUND(N(D776)*N(E776),2)))</f>
        <v/>
      </c>
      <c r="K776" s="123" t="str">
        <f>IF(B776="","",IF(H776&lt;&gt;"",N(H776),IF(B776="Dividendo",ROUND(J776*IFERROR(INDEX(Calcoli!$V$7:$V$21,MATCH(C776,Calcoli!$A$7:$A$21,0)),0.26),2),IF(B776="Vendita",ROUND(MAX(0,U776)*IFERROR(INDEX(Calcoli!$V$7:$V$21,MATCH(C776,Calcoli!$A$7:$A$21,0)),0.26),2),0))))</f>
        <v/>
      </c>
      <c r="L776" s="135" t="str">
        <f>IF(B776="","",IF(B776="Acquisto",-(J776+N(G776)),J776-N(G776)-K776))</f>
        <v/>
      </c>
      <c r="M776" s="127" t="str">
        <f>IF(B776="","",IF(ISNA(MATCH(C776,ETF!$A$7:$A$21,0)),"ETF?",IF(NOT(ISNUMBER(A776)),"Data?",IF(AND(B776&lt;&gt;"Dividendo",N(D776)&lt;=0),"Quote?",IF(AND(B776="Vendita",N(D776)&gt;N(Q776)+0.000001),"Quote?",IF(J776&lt;=0,"Importo?","✓"))))))</f>
        <v/>
      </c>
      <c r="N776" t="str">
        <f>IF(OR(B776="Acquisto",B776="Vendita"),COUNTIFS($C$5:C776,C776,$B$5:B776,"Acquisto")+COUNTIFS($C$5:C776,C776,$B$5:B776,"Vendita"),"")</f>
        <v/>
      </c>
      <c r="O776" t="str">
        <f>IF(N776="","",C776&amp;"|"&amp;N776)</f>
        <v/>
      </c>
      <c r="P776" t="str">
        <f>IF(N776="","",IF(N776=1,0,MATCH(C776&amp;"|"&amp;(N776-1),$O$5:$O$1004,0)))</f>
        <v/>
      </c>
      <c r="Q776" t="str">
        <f>IF(N776="","",IF(P776=0,SUMIFS(Calcoli!$C$7:$C$21,Calcoli!$A$7:$A$21,C776),INDEX($S$5:$S$1004,P776)))</f>
        <v/>
      </c>
      <c r="R776" t="str">
        <f>IF(N776="","",IF(P776=0,SUMIFS(Calcoli!$D$7:$D$21,Calcoli!$A$7:$A$21,C776),INDEX($T$5:$T$1004,P776)))</f>
        <v/>
      </c>
      <c r="S776" t="str">
        <f>IF(N776="","",IF(B776="Acquisto",Q776+N(D776),MAX(0,Q776-N(D776))))</f>
        <v/>
      </c>
      <c r="T776" t="str">
        <f>IF(N776="","",IF(B776="Acquisto",R776+J776+N(G776),IF(Q776&lt;=0,0,R776*(1-MIN(1,N(D776)/Q776)))))</f>
        <v/>
      </c>
      <c r="U776" t="str">
        <f>IF(B776&lt;&gt;"Vendita","",J776-N(G776)-IF(Q776&lt;=0,0,R776*MIN(1,N(D776)/Q776)))</f>
        <v/>
      </c>
      <c r="V776" t="str">
        <f>IF(B776&lt;&gt;"Dividendo","",IF(Calcoli!$B$251=1,J776,L776))</f>
        <v/>
      </c>
      <c r="W776" t="str">
        <f>IF(AND(V776&lt;&gt;"",ISNUMBER(A776)),A776,"")</f>
        <v/>
      </c>
    </row>
    <row r="777">
      <c r="A777" s="134" t="n"/>
      <c r="B777" s="116" t="n"/>
      <c r="C777" s="116" t="n"/>
      <c r="D777" s="121" t="n"/>
      <c r="E777" s="120" t="n"/>
      <c r="F777" s="120" t="n"/>
      <c r="G777" s="120" t="n"/>
      <c r="H777" s="120" t="n"/>
      <c r="I777" s="117" t="n"/>
      <c r="J777" s="123" t="str">
        <f>IF(B777="","",IF(F777&lt;&gt;"",N(F777),ROUND(N(D777)*N(E777),2)))</f>
        <v/>
      </c>
      <c r="K777" s="123" t="str">
        <f>IF(B777="","",IF(H777&lt;&gt;"",N(H777),IF(B777="Dividendo",ROUND(J777*IFERROR(INDEX(Calcoli!$V$7:$V$21,MATCH(C777,Calcoli!$A$7:$A$21,0)),0.26),2),IF(B777="Vendita",ROUND(MAX(0,U777)*IFERROR(INDEX(Calcoli!$V$7:$V$21,MATCH(C777,Calcoli!$A$7:$A$21,0)),0.26),2),0))))</f>
        <v/>
      </c>
      <c r="L777" s="135" t="str">
        <f>IF(B777="","",IF(B777="Acquisto",-(J777+N(G777)),J777-N(G777)-K777))</f>
        <v/>
      </c>
      <c r="M777" s="127" t="str">
        <f>IF(B777="","",IF(ISNA(MATCH(C777,ETF!$A$7:$A$21,0)),"ETF?",IF(NOT(ISNUMBER(A777)),"Data?",IF(AND(B777&lt;&gt;"Dividendo",N(D777)&lt;=0),"Quote?",IF(AND(B777="Vendita",N(D777)&gt;N(Q777)+0.000001),"Quote?",IF(J777&lt;=0,"Importo?","✓"))))))</f>
        <v/>
      </c>
      <c r="N777" t="str">
        <f>IF(OR(B777="Acquisto",B777="Vendita"),COUNTIFS($C$5:C777,C777,$B$5:B777,"Acquisto")+COUNTIFS($C$5:C777,C777,$B$5:B777,"Vendita"),"")</f>
        <v/>
      </c>
      <c r="O777" t="str">
        <f>IF(N777="","",C777&amp;"|"&amp;N777)</f>
        <v/>
      </c>
      <c r="P777" t="str">
        <f>IF(N777="","",IF(N777=1,0,MATCH(C777&amp;"|"&amp;(N777-1),$O$5:$O$1004,0)))</f>
        <v/>
      </c>
      <c r="Q777" t="str">
        <f>IF(N777="","",IF(P777=0,SUMIFS(Calcoli!$C$7:$C$21,Calcoli!$A$7:$A$21,C777),INDEX($S$5:$S$1004,P777)))</f>
        <v/>
      </c>
      <c r="R777" t="str">
        <f>IF(N777="","",IF(P777=0,SUMIFS(Calcoli!$D$7:$D$21,Calcoli!$A$7:$A$21,C777),INDEX($T$5:$T$1004,P777)))</f>
        <v/>
      </c>
      <c r="S777" t="str">
        <f>IF(N777="","",IF(B777="Acquisto",Q777+N(D777),MAX(0,Q777-N(D777))))</f>
        <v/>
      </c>
      <c r="T777" t="str">
        <f>IF(N777="","",IF(B777="Acquisto",R777+J777+N(G777),IF(Q777&lt;=0,0,R777*(1-MIN(1,N(D777)/Q777)))))</f>
        <v/>
      </c>
      <c r="U777" t="str">
        <f>IF(B777&lt;&gt;"Vendita","",J777-N(G777)-IF(Q777&lt;=0,0,R777*MIN(1,N(D777)/Q777)))</f>
        <v/>
      </c>
      <c r="V777" t="str">
        <f>IF(B777&lt;&gt;"Dividendo","",IF(Calcoli!$B$251=1,J777,L777))</f>
        <v/>
      </c>
      <c r="W777" t="str">
        <f>IF(AND(V777&lt;&gt;"",ISNUMBER(A777)),A777,"")</f>
        <v/>
      </c>
    </row>
    <row r="778">
      <c r="A778" s="134" t="n"/>
      <c r="B778" s="116" t="n"/>
      <c r="C778" s="116" t="n"/>
      <c r="D778" s="121" t="n"/>
      <c r="E778" s="120" t="n"/>
      <c r="F778" s="120" t="n"/>
      <c r="G778" s="120" t="n"/>
      <c r="H778" s="120" t="n"/>
      <c r="I778" s="117" t="n"/>
      <c r="J778" s="123" t="str">
        <f>IF(B778="","",IF(F778&lt;&gt;"",N(F778),ROUND(N(D778)*N(E778),2)))</f>
        <v/>
      </c>
      <c r="K778" s="123" t="str">
        <f>IF(B778="","",IF(H778&lt;&gt;"",N(H778),IF(B778="Dividendo",ROUND(J778*IFERROR(INDEX(Calcoli!$V$7:$V$21,MATCH(C778,Calcoli!$A$7:$A$21,0)),0.26),2),IF(B778="Vendita",ROUND(MAX(0,U778)*IFERROR(INDEX(Calcoli!$V$7:$V$21,MATCH(C778,Calcoli!$A$7:$A$21,0)),0.26),2),0))))</f>
        <v/>
      </c>
      <c r="L778" s="135" t="str">
        <f>IF(B778="","",IF(B778="Acquisto",-(J778+N(G778)),J778-N(G778)-K778))</f>
        <v/>
      </c>
      <c r="M778" s="127" t="str">
        <f>IF(B778="","",IF(ISNA(MATCH(C778,ETF!$A$7:$A$21,0)),"ETF?",IF(NOT(ISNUMBER(A778)),"Data?",IF(AND(B778&lt;&gt;"Dividendo",N(D778)&lt;=0),"Quote?",IF(AND(B778="Vendita",N(D778)&gt;N(Q778)+0.000001),"Quote?",IF(J778&lt;=0,"Importo?","✓"))))))</f>
        <v/>
      </c>
      <c r="N778" t="str">
        <f>IF(OR(B778="Acquisto",B778="Vendita"),COUNTIFS($C$5:C778,C778,$B$5:B778,"Acquisto")+COUNTIFS($C$5:C778,C778,$B$5:B778,"Vendita"),"")</f>
        <v/>
      </c>
      <c r="O778" t="str">
        <f>IF(N778="","",C778&amp;"|"&amp;N778)</f>
        <v/>
      </c>
      <c r="P778" t="str">
        <f>IF(N778="","",IF(N778=1,0,MATCH(C778&amp;"|"&amp;(N778-1),$O$5:$O$1004,0)))</f>
        <v/>
      </c>
      <c r="Q778" t="str">
        <f>IF(N778="","",IF(P778=0,SUMIFS(Calcoli!$C$7:$C$21,Calcoli!$A$7:$A$21,C778),INDEX($S$5:$S$1004,P778)))</f>
        <v/>
      </c>
      <c r="R778" t="str">
        <f>IF(N778="","",IF(P778=0,SUMIFS(Calcoli!$D$7:$D$21,Calcoli!$A$7:$A$21,C778),INDEX($T$5:$T$1004,P778)))</f>
        <v/>
      </c>
      <c r="S778" t="str">
        <f>IF(N778="","",IF(B778="Acquisto",Q778+N(D778),MAX(0,Q778-N(D778))))</f>
        <v/>
      </c>
      <c r="T778" t="str">
        <f>IF(N778="","",IF(B778="Acquisto",R778+J778+N(G778),IF(Q778&lt;=0,0,R778*(1-MIN(1,N(D778)/Q778)))))</f>
        <v/>
      </c>
      <c r="U778" t="str">
        <f>IF(B778&lt;&gt;"Vendita","",J778-N(G778)-IF(Q778&lt;=0,0,R778*MIN(1,N(D778)/Q778)))</f>
        <v/>
      </c>
      <c r="V778" t="str">
        <f>IF(B778&lt;&gt;"Dividendo","",IF(Calcoli!$B$251=1,J778,L778))</f>
        <v/>
      </c>
      <c r="W778" t="str">
        <f>IF(AND(V778&lt;&gt;"",ISNUMBER(A778)),A778,"")</f>
        <v/>
      </c>
    </row>
    <row r="779">
      <c r="A779" s="134" t="n"/>
      <c r="B779" s="116" t="n"/>
      <c r="C779" s="116" t="n"/>
      <c r="D779" s="121" t="n"/>
      <c r="E779" s="120" t="n"/>
      <c r="F779" s="120" t="n"/>
      <c r="G779" s="120" t="n"/>
      <c r="H779" s="120" t="n"/>
      <c r="I779" s="117" t="n"/>
      <c r="J779" s="123" t="str">
        <f>IF(B779="","",IF(F779&lt;&gt;"",N(F779),ROUND(N(D779)*N(E779),2)))</f>
        <v/>
      </c>
      <c r="K779" s="123" t="str">
        <f>IF(B779="","",IF(H779&lt;&gt;"",N(H779),IF(B779="Dividendo",ROUND(J779*IFERROR(INDEX(Calcoli!$V$7:$V$21,MATCH(C779,Calcoli!$A$7:$A$21,0)),0.26),2),IF(B779="Vendita",ROUND(MAX(0,U779)*IFERROR(INDEX(Calcoli!$V$7:$V$21,MATCH(C779,Calcoli!$A$7:$A$21,0)),0.26),2),0))))</f>
        <v/>
      </c>
      <c r="L779" s="135" t="str">
        <f>IF(B779="","",IF(B779="Acquisto",-(J779+N(G779)),J779-N(G779)-K779))</f>
        <v/>
      </c>
      <c r="M779" s="127" t="str">
        <f>IF(B779="","",IF(ISNA(MATCH(C779,ETF!$A$7:$A$21,0)),"ETF?",IF(NOT(ISNUMBER(A779)),"Data?",IF(AND(B779&lt;&gt;"Dividendo",N(D779)&lt;=0),"Quote?",IF(AND(B779="Vendita",N(D779)&gt;N(Q779)+0.000001),"Quote?",IF(J779&lt;=0,"Importo?","✓"))))))</f>
        <v/>
      </c>
      <c r="N779" t="str">
        <f>IF(OR(B779="Acquisto",B779="Vendita"),COUNTIFS($C$5:C779,C779,$B$5:B779,"Acquisto")+COUNTIFS($C$5:C779,C779,$B$5:B779,"Vendita"),"")</f>
        <v/>
      </c>
      <c r="O779" t="str">
        <f>IF(N779="","",C779&amp;"|"&amp;N779)</f>
        <v/>
      </c>
      <c r="P779" t="str">
        <f>IF(N779="","",IF(N779=1,0,MATCH(C779&amp;"|"&amp;(N779-1),$O$5:$O$1004,0)))</f>
        <v/>
      </c>
      <c r="Q779" t="str">
        <f>IF(N779="","",IF(P779=0,SUMIFS(Calcoli!$C$7:$C$21,Calcoli!$A$7:$A$21,C779),INDEX($S$5:$S$1004,P779)))</f>
        <v/>
      </c>
      <c r="R779" t="str">
        <f>IF(N779="","",IF(P779=0,SUMIFS(Calcoli!$D$7:$D$21,Calcoli!$A$7:$A$21,C779),INDEX($T$5:$T$1004,P779)))</f>
        <v/>
      </c>
      <c r="S779" t="str">
        <f>IF(N779="","",IF(B779="Acquisto",Q779+N(D779),MAX(0,Q779-N(D779))))</f>
        <v/>
      </c>
      <c r="T779" t="str">
        <f>IF(N779="","",IF(B779="Acquisto",R779+J779+N(G779),IF(Q779&lt;=0,0,R779*(1-MIN(1,N(D779)/Q779)))))</f>
        <v/>
      </c>
      <c r="U779" t="str">
        <f>IF(B779&lt;&gt;"Vendita","",J779-N(G779)-IF(Q779&lt;=0,0,R779*MIN(1,N(D779)/Q779)))</f>
        <v/>
      </c>
      <c r="V779" t="str">
        <f>IF(B779&lt;&gt;"Dividendo","",IF(Calcoli!$B$251=1,J779,L779))</f>
        <v/>
      </c>
      <c r="W779" t="str">
        <f>IF(AND(V779&lt;&gt;"",ISNUMBER(A779)),A779,"")</f>
        <v/>
      </c>
    </row>
    <row r="780">
      <c r="A780" s="134" t="n"/>
      <c r="B780" s="116" t="n"/>
      <c r="C780" s="116" t="n"/>
      <c r="D780" s="121" t="n"/>
      <c r="E780" s="120" t="n"/>
      <c r="F780" s="120" t="n"/>
      <c r="G780" s="120" t="n"/>
      <c r="H780" s="120" t="n"/>
      <c r="I780" s="117" t="n"/>
      <c r="J780" s="123" t="str">
        <f>IF(B780="","",IF(F780&lt;&gt;"",N(F780),ROUND(N(D780)*N(E780),2)))</f>
        <v/>
      </c>
      <c r="K780" s="123" t="str">
        <f>IF(B780="","",IF(H780&lt;&gt;"",N(H780),IF(B780="Dividendo",ROUND(J780*IFERROR(INDEX(Calcoli!$V$7:$V$21,MATCH(C780,Calcoli!$A$7:$A$21,0)),0.26),2),IF(B780="Vendita",ROUND(MAX(0,U780)*IFERROR(INDEX(Calcoli!$V$7:$V$21,MATCH(C780,Calcoli!$A$7:$A$21,0)),0.26),2),0))))</f>
        <v/>
      </c>
      <c r="L780" s="135" t="str">
        <f>IF(B780="","",IF(B780="Acquisto",-(J780+N(G780)),J780-N(G780)-K780))</f>
        <v/>
      </c>
      <c r="M780" s="127" t="str">
        <f>IF(B780="","",IF(ISNA(MATCH(C780,ETF!$A$7:$A$21,0)),"ETF?",IF(NOT(ISNUMBER(A780)),"Data?",IF(AND(B780&lt;&gt;"Dividendo",N(D780)&lt;=0),"Quote?",IF(AND(B780="Vendita",N(D780)&gt;N(Q780)+0.000001),"Quote?",IF(J780&lt;=0,"Importo?","✓"))))))</f>
        <v/>
      </c>
      <c r="N780" t="str">
        <f>IF(OR(B780="Acquisto",B780="Vendita"),COUNTIFS($C$5:C780,C780,$B$5:B780,"Acquisto")+COUNTIFS($C$5:C780,C780,$B$5:B780,"Vendita"),"")</f>
        <v/>
      </c>
      <c r="O780" t="str">
        <f>IF(N780="","",C780&amp;"|"&amp;N780)</f>
        <v/>
      </c>
      <c r="P780" t="str">
        <f>IF(N780="","",IF(N780=1,0,MATCH(C780&amp;"|"&amp;(N780-1),$O$5:$O$1004,0)))</f>
        <v/>
      </c>
      <c r="Q780" t="str">
        <f>IF(N780="","",IF(P780=0,SUMIFS(Calcoli!$C$7:$C$21,Calcoli!$A$7:$A$21,C780),INDEX($S$5:$S$1004,P780)))</f>
        <v/>
      </c>
      <c r="R780" t="str">
        <f>IF(N780="","",IF(P780=0,SUMIFS(Calcoli!$D$7:$D$21,Calcoli!$A$7:$A$21,C780),INDEX($T$5:$T$1004,P780)))</f>
        <v/>
      </c>
      <c r="S780" t="str">
        <f>IF(N780="","",IF(B780="Acquisto",Q780+N(D780),MAX(0,Q780-N(D780))))</f>
        <v/>
      </c>
      <c r="T780" t="str">
        <f>IF(N780="","",IF(B780="Acquisto",R780+J780+N(G780),IF(Q780&lt;=0,0,R780*(1-MIN(1,N(D780)/Q780)))))</f>
        <v/>
      </c>
      <c r="U780" t="str">
        <f>IF(B780&lt;&gt;"Vendita","",J780-N(G780)-IF(Q780&lt;=0,0,R780*MIN(1,N(D780)/Q780)))</f>
        <v/>
      </c>
      <c r="V780" t="str">
        <f>IF(B780&lt;&gt;"Dividendo","",IF(Calcoli!$B$251=1,J780,L780))</f>
        <v/>
      </c>
      <c r="W780" t="str">
        <f>IF(AND(V780&lt;&gt;"",ISNUMBER(A780)),A780,"")</f>
        <v/>
      </c>
    </row>
    <row r="781">
      <c r="A781" s="134" t="n"/>
      <c r="B781" s="116" t="n"/>
      <c r="C781" s="116" t="n"/>
      <c r="D781" s="121" t="n"/>
      <c r="E781" s="120" t="n"/>
      <c r="F781" s="120" t="n"/>
      <c r="G781" s="120" t="n"/>
      <c r="H781" s="120" t="n"/>
      <c r="I781" s="117" t="n"/>
      <c r="J781" s="123" t="str">
        <f>IF(B781="","",IF(F781&lt;&gt;"",N(F781),ROUND(N(D781)*N(E781),2)))</f>
        <v/>
      </c>
      <c r="K781" s="123" t="str">
        <f>IF(B781="","",IF(H781&lt;&gt;"",N(H781),IF(B781="Dividendo",ROUND(J781*IFERROR(INDEX(Calcoli!$V$7:$V$21,MATCH(C781,Calcoli!$A$7:$A$21,0)),0.26),2),IF(B781="Vendita",ROUND(MAX(0,U781)*IFERROR(INDEX(Calcoli!$V$7:$V$21,MATCH(C781,Calcoli!$A$7:$A$21,0)),0.26),2),0))))</f>
        <v/>
      </c>
      <c r="L781" s="135" t="str">
        <f>IF(B781="","",IF(B781="Acquisto",-(J781+N(G781)),J781-N(G781)-K781))</f>
        <v/>
      </c>
      <c r="M781" s="127" t="str">
        <f>IF(B781="","",IF(ISNA(MATCH(C781,ETF!$A$7:$A$21,0)),"ETF?",IF(NOT(ISNUMBER(A781)),"Data?",IF(AND(B781&lt;&gt;"Dividendo",N(D781)&lt;=0),"Quote?",IF(AND(B781="Vendita",N(D781)&gt;N(Q781)+0.000001),"Quote?",IF(J781&lt;=0,"Importo?","✓"))))))</f>
        <v/>
      </c>
      <c r="N781" t="str">
        <f>IF(OR(B781="Acquisto",B781="Vendita"),COUNTIFS($C$5:C781,C781,$B$5:B781,"Acquisto")+COUNTIFS($C$5:C781,C781,$B$5:B781,"Vendita"),"")</f>
        <v/>
      </c>
      <c r="O781" t="str">
        <f>IF(N781="","",C781&amp;"|"&amp;N781)</f>
        <v/>
      </c>
      <c r="P781" t="str">
        <f>IF(N781="","",IF(N781=1,0,MATCH(C781&amp;"|"&amp;(N781-1),$O$5:$O$1004,0)))</f>
        <v/>
      </c>
      <c r="Q781" t="str">
        <f>IF(N781="","",IF(P781=0,SUMIFS(Calcoli!$C$7:$C$21,Calcoli!$A$7:$A$21,C781),INDEX($S$5:$S$1004,P781)))</f>
        <v/>
      </c>
      <c r="R781" t="str">
        <f>IF(N781="","",IF(P781=0,SUMIFS(Calcoli!$D$7:$D$21,Calcoli!$A$7:$A$21,C781),INDEX($T$5:$T$1004,P781)))</f>
        <v/>
      </c>
      <c r="S781" t="str">
        <f>IF(N781="","",IF(B781="Acquisto",Q781+N(D781),MAX(0,Q781-N(D781))))</f>
        <v/>
      </c>
      <c r="T781" t="str">
        <f>IF(N781="","",IF(B781="Acquisto",R781+J781+N(G781),IF(Q781&lt;=0,0,R781*(1-MIN(1,N(D781)/Q781)))))</f>
        <v/>
      </c>
      <c r="U781" t="str">
        <f>IF(B781&lt;&gt;"Vendita","",J781-N(G781)-IF(Q781&lt;=0,0,R781*MIN(1,N(D781)/Q781)))</f>
        <v/>
      </c>
      <c r="V781" t="str">
        <f>IF(B781&lt;&gt;"Dividendo","",IF(Calcoli!$B$251=1,J781,L781))</f>
        <v/>
      </c>
      <c r="W781" t="str">
        <f>IF(AND(V781&lt;&gt;"",ISNUMBER(A781)),A781,"")</f>
        <v/>
      </c>
    </row>
    <row r="782">
      <c r="A782" s="134" t="n"/>
      <c r="B782" s="116" t="n"/>
      <c r="C782" s="116" t="n"/>
      <c r="D782" s="121" t="n"/>
      <c r="E782" s="120" t="n"/>
      <c r="F782" s="120" t="n"/>
      <c r="G782" s="120" t="n"/>
      <c r="H782" s="120" t="n"/>
      <c r="I782" s="117" t="n"/>
      <c r="J782" s="123" t="str">
        <f>IF(B782="","",IF(F782&lt;&gt;"",N(F782),ROUND(N(D782)*N(E782),2)))</f>
        <v/>
      </c>
      <c r="K782" s="123" t="str">
        <f>IF(B782="","",IF(H782&lt;&gt;"",N(H782),IF(B782="Dividendo",ROUND(J782*IFERROR(INDEX(Calcoli!$V$7:$V$21,MATCH(C782,Calcoli!$A$7:$A$21,0)),0.26),2),IF(B782="Vendita",ROUND(MAX(0,U782)*IFERROR(INDEX(Calcoli!$V$7:$V$21,MATCH(C782,Calcoli!$A$7:$A$21,0)),0.26),2),0))))</f>
        <v/>
      </c>
      <c r="L782" s="135" t="str">
        <f>IF(B782="","",IF(B782="Acquisto",-(J782+N(G782)),J782-N(G782)-K782))</f>
        <v/>
      </c>
      <c r="M782" s="127" t="str">
        <f>IF(B782="","",IF(ISNA(MATCH(C782,ETF!$A$7:$A$21,0)),"ETF?",IF(NOT(ISNUMBER(A782)),"Data?",IF(AND(B782&lt;&gt;"Dividendo",N(D782)&lt;=0),"Quote?",IF(AND(B782="Vendita",N(D782)&gt;N(Q782)+0.000001),"Quote?",IF(J782&lt;=0,"Importo?","✓"))))))</f>
        <v/>
      </c>
      <c r="N782" t="str">
        <f>IF(OR(B782="Acquisto",B782="Vendita"),COUNTIFS($C$5:C782,C782,$B$5:B782,"Acquisto")+COUNTIFS($C$5:C782,C782,$B$5:B782,"Vendita"),"")</f>
        <v/>
      </c>
      <c r="O782" t="str">
        <f>IF(N782="","",C782&amp;"|"&amp;N782)</f>
        <v/>
      </c>
      <c r="P782" t="str">
        <f>IF(N782="","",IF(N782=1,0,MATCH(C782&amp;"|"&amp;(N782-1),$O$5:$O$1004,0)))</f>
        <v/>
      </c>
      <c r="Q782" t="str">
        <f>IF(N782="","",IF(P782=0,SUMIFS(Calcoli!$C$7:$C$21,Calcoli!$A$7:$A$21,C782),INDEX($S$5:$S$1004,P782)))</f>
        <v/>
      </c>
      <c r="R782" t="str">
        <f>IF(N782="","",IF(P782=0,SUMIFS(Calcoli!$D$7:$D$21,Calcoli!$A$7:$A$21,C782),INDEX($T$5:$T$1004,P782)))</f>
        <v/>
      </c>
      <c r="S782" t="str">
        <f>IF(N782="","",IF(B782="Acquisto",Q782+N(D782),MAX(0,Q782-N(D782))))</f>
        <v/>
      </c>
      <c r="T782" t="str">
        <f>IF(N782="","",IF(B782="Acquisto",R782+J782+N(G782),IF(Q782&lt;=0,0,R782*(1-MIN(1,N(D782)/Q782)))))</f>
        <v/>
      </c>
      <c r="U782" t="str">
        <f>IF(B782&lt;&gt;"Vendita","",J782-N(G782)-IF(Q782&lt;=0,0,R782*MIN(1,N(D782)/Q782)))</f>
        <v/>
      </c>
      <c r="V782" t="str">
        <f>IF(B782&lt;&gt;"Dividendo","",IF(Calcoli!$B$251=1,J782,L782))</f>
        <v/>
      </c>
      <c r="W782" t="str">
        <f>IF(AND(V782&lt;&gt;"",ISNUMBER(A782)),A782,"")</f>
        <v/>
      </c>
    </row>
    <row r="783">
      <c r="A783" s="134" t="n"/>
      <c r="B783" s="116" t="n"/>
      <c r="C783" s="116" t="n"/>
      <c r="D783" s="121" t="n"/>
      <c r="E783" s="120" t="n"/>
      <c r="F783" s="120" t="n"/>
      <c r="G783" s="120" t="n"/>
      <c r="H783" s="120" t="n"/>
      <c r="I783" s="117" t="n"/>
      <c r="J783" s="123" t="str">
        <f>IF(B783="","",IF(F783&lt;&gt;"",N(F783),ROUND(N(D783)*N(E783),2)))</f>
        <v/>
      </c>
      <c r="K783" s="123" t="str">
        <f>IF(B783="","",IF(H783&lt;&gt;"",N(H783),IF(B783="Dividendo",ROUND(J783*IFERROR(INDEX(Calcoli!$V$7:$V$21,MATCH(C783,Calcoli!$A$7:$A$21,0)),0.26),2),IF(B783="Vendita",ROUND(MAX(0,U783)*IFERROR(INDEX(Calcoli!$V$7:$V$21,MATCH(C783,Calcoli!$A$7:$A$21,0)),0.26),2),0))))</f>
        <v/>
      </c>
      <c r="L783" s="135" t="str">
        <f>IF(B783="","",IF(B783="Acquisto",-(J783+N(G783)),J783-N(G783)-K783))</f>
        <v/>
      </c>
      <c r="M783" s="127" t="str">
        <f>IF(B783="","",IF(ISNA(MATCH(C783,ETF!$A$7:$A$21,0)),"ETF?",IF(NOT(ISNUMBER(A783)),"Data?",IF(AND(B783&lt;&gt;"Dividendo",N(D783)&lt;=0),"Quote?",IF(AND(B783="Vendita",N(D783)&gt;N(Q783)+0.000001),"Quote?",IF(J783&lt;=0,"Importo?","✓"))))))</f>
        <v/>
      </c>
      <c r="N783" t="str">
        <f>IF(OR(B783="Acquisto",B783="Vendita"),COUNTIFS($C$5:C783,C783,$B$5:B783,"Acquisto")+COUNTIFS($C$5:C783,C783,$B$5:B783,"Vendita"),"")</f>
        <v/>
      </c>
      <c r="O783" t="str">
        <f>IF(N783="","",C783&amp;"|"&amp;N783)</f>
        <v/>
      </c>
      <c r="P783" t="str">
        <f>IF(N783="","",IF(N783=1,0,MATCH(C783&amp;"|"&amp;(N783-1),$O$5:$O$1004,0)))</f>
        <v/>
      </c>
      <c r="Q783" t="str">
        <f>IF(N783="","",IF(P783=0,SUMIFS(Calcoli!$C$7:$C$21,Calcoli!$A$7:$A$21,C783),INDEX($S$5:$S$1004,P783)))</f>
        <v/>
      </c>
      <c r="R783" t="str">
        <f>IF(N783="","",IF(P783=0,SUMIFS(Calcoli!$D$7:$D$21,Calcoli!$A$7:$A$21,C783),INDEX($T$5:$T$1004,P783)))</f>
        <v/>
      </c>
      <c r="S783" t="str">
        <f>IF(N783="","",IF(B783="Acquisto",Q783+N(D783),MAX(0,Q783-N(D783))))</f>
        <v/>
      </c>
      <c r="T783" t="str">
        <f>IF(N783="","",IF(B783="Acquisto",R783+J783+N(G783),IF(Q783&lt;=0,0,R783*(1-MIN(1,N(D783)/Q783)))))</f>
        <v/>
      </c>
      <c r="U783" t="str">
        <f>IF(B783&lt;&gt;"Vendita","",J783-N(G783)-IF(Q783&lt;=0,0,R783*MIN(1,N(D783)/Q783)))</f>
        <v/>
      </c>
      <c r="V783" t="str">
        <f>IF(B783&lt;&gt;"Dividendo","",IF(Calcoli!$B$251=1,J783,L783))</f>
        <v/>
      </c>
      <c r="W783" t="str">
        <f>IF(AND(V783&lt;&gt;"",ISNUMBER(A783)),A783,"")</f>
        <v/>
      </c>
    </row>
    <row r="784">
      <c r="A784" s="134" t="n"/>
      <c r="B784" s="116" t="n"/>
      <c r="C784" s="116" t="n"/>
      <c r="D784" s="121" t="n"/>
      <c r="E784" s="120" t="n"/>
      <c r="F784" s="120" t="n"/>
      <c r="G784" s="120" t="n"/>
      <c r="H784" s="120" t="n"/>
      <c r="I784" s="117" t="n"/>
      <c r="J784" s="123" t="str">
        <f>IF(B784="","",IF(F784&lt;&gt;"",N(F784),ROUND(N(D784)*N(E784),2)))</f>
        <v/>
      </c>
      <c r="K784" s="123" t="str">
        <f>IF(B784="","",IF(H784&lt;&gt;"",N(H784),IF(B784="Dividendo",ROUND(J784*IFERROR(INDEX(Calcoli!$V$7:$V$21,MATCH(C784,Calcoli!$A$7:$A$21,0)),0.26),2),IF(B784="Vendita",ROUND(MAX(0,U784)*IFERROR(INDEX(Calcoli!$V$7:$V$21,MATCH(C784,Calcoli!$A$7:$A$21,0)),0.26),2),0))))</f>
        <v/>
      </c>
      <c r="L784" s="135" t="str">
        <f>IF(B784="","",IF(B784="Acquisto",-(J784+N(G784)),J784-N(G784)-K784))</f>
        <v/>
      </c>
      <c r="M784" s="127" t="str">
        <f>IF(B784="","",IF(ISNA(MATCH(C784,ETF!$A$7:$A$21,0)),"ETF?",IF(NOT(ISNUMBER(A784)),"Data?",IF(AND(B784&lt;&gt;"Dividendo",N(D784)&lt;=0),"Quote?",IF(AND(B784="Vendita",N(D784)&gt;N(Q784)+0.000001),"Quote?",IF(J784&lt;=0,"Importo?","✓"))))))</f>
        <v/>
      </c>
      <c r="N784" t="str">
        <f>IF(OR(B784="Acquisto",B784="Vendita"),COUNTIFS($C$5:C784,C784,$B$5:B784,"Acquisto")+COUNTIFS($C$5:C784,C784,$B$5:B784,"Vendita"),"")</f>
        <v/>
      </c>
      <c r="O784" t="str">
        <f>IF(N784="","",C784&amp;"|"&amp;N784)</f>
        <v/>
      </c>
      <c r="P784" t="str">
        <f>IF(N784="","",IF(N784=1,0,MATCH(C784&amp;"|"&amp;(N784-1),$O$5:$O$1004,0)))</f>
        <v/>
      </c>
      <c r="Q784" t="str">
        <f>IF(N784="","",IF(P784=0,SUMIFS(Calcoli!$C$7:$C$21,Calcoli!$A$7:$A$21,C784),INDEX($S$5:$S$1004,P784)))</f>
        <v/>
      </c>
      <c r="R784" t="str">
        <f>IF(N784="","",IF(P784=0,SUMIFS(Calcoli!$D$7:$D$21,Calcoli!$A$7:$A$21,C784),INDEX($T$5:$T$1004,P784)))</f>
        <v/>
      </c>
      <c r="S784" t="str">
        <f>IF(N784="","",IF(B784="Acquisto",Q784+N(D784),MAX(0,Q784-N(D784))))</f>
        <v/>
      </c>
      <c r="T784" t="str">
        <f>IF(N784="","",IF(B784="Acquisto",R784+J784+N(G784),IF(Q784&lt;=0,0,R784*(1-MIN(1,N(D784)/Q784)))))</f>
        <v/>
      </c>
      <c r="U784" t="str">
        <f>IF(B784&lt;&gt;"Vendita","",J784-N(G784)-IF(Q784&lt;=0,0,R784*MIN(1,N(D784)/Q784)))</f>
        <v/>
      </c>
      <c r="V784" t="str">
        <f>IF(B784&lt;&gt;"Dividendo","",IF(Calcoli!$B$251=1,J784,L784))</f>
        <v/>
      </c>
      <c r="W784" t="str">
        <f>IF(AND(V784&lt;&gt;"",ISNUMBER(A784)),A784,"")</f>
        <v/>
      </c>
    </row>
    <row r="785">
      <c r="A785" s="134" t="n"/>
      <c r="B785" s="116" t="n"/>
      <c r="C785" s="116" t="n"/>
      <c r="D785" s="121" t="n"/>
      <c r="E785" s="120" t="n"/>
      <c r="F785" s="120" t="n"/>
      <c r="G785" s="120" t="n"/>
      <c r="H785" s="120" t="n"/>
      <c r="I785" s="117" t="n"/>
      <c r="J785" s="123" t="str">
        <f>IF(B785="","",IF(F785&lt;&gt;"",N(F785),ROUND(N(D785)*N(E785),2)))</f>
        <v/>
      </c>
      <c r="K785" s="123" t="str">
        <f>IF(B785="","",IF(H785&lt;&gt;"",N(H785),IF(B785="Dividendo",ROUND(J785*IFERROR(INDEX(Calcoli!$V$7:$V$21,MATCH(C785,Calcoli!$A$7:$A$21,0)),0.26),2),IF(B785="Vendita",ROUND(MAX(0,U785)*IFERROR(INDEX(Calcoli!$V$7:$V$21,MATCH(C785,Calcoli!$A$7:$A$21,0)),0.26),2),0))))</f>
        <v/>
      </c>
      <c r="L785" s="135" t="str">
        <f>IF(B785="","",IF(B785="Acquisto",-(J785+N(G785)),J785-N(G785)-K785))</f>
        <v/>
      </c>
      <c r="M785" s="127" t="str">
        <f>IF(B785="","",IF(ISNA(MATCH(C785,ETF!$A$7:$A$21,0)),"ETF?",IF(NOT(ISNUMBER(A785)),"Data?",IF(AND(B785&lt;&gt;"Dividendo",N(D785)&lt;=0),"Quote?",IF(AND(B785="Vendita",N(D785)&gt;N(Q785)+0.000001),"Quote?",IF(J785&lt;=0,"Importo?","✓"))))))</f>
        <v/>
      </c>
      <c r="N785" t="str">
        <f>IF(OR(B785="Acquisto",B785="Vendita"),COUNTIFS($C$5:C785,C785,$B$5:B785,"Acquisto")+COUNTIFS($C$5:C785,C785,$B$5:B785,"Vendita"),"")</f>
        <v/>
      </c>
      <c r="O785" t="str">
        <f>IF(N785="","",C785&amp;"|"&amp;N785)</f>
        <v/>
      </c>
      <c r="P785" t="str">
        <f>IF(N785="","",IF(N785=1,0,MATCH(C785&amp;"|"&amp;(N785-1),$O$5:$O$1004,0)))</f>
        <v/>
      </c>
      <c r="Q785" t="str">
        <f>IF(N785="","",IF(P785=0,SUMIFS(Calcoli!$C$7:$C$21,Calcoli!$A$7:$A$21,C785),INDEX($S$5:$S$1004,P785)))</f>
        <v/>
      </c>
      <c r="R785" t="str">
        <f>IF(N785="","",IF(P785=0,SUMIFS(Calcoli!$D$7:$D$21,Calcoli!$A$7:$A$21,C785),INDEX($T$5:$T$1004,P785)))</f>
        <v/>
      </c>
      <c r="S785" t="str">
        <f>IF(N785="","",IF(B785="Acquisto",Q785+N(D785),MAX(0,Q785-N(D785))))</f>
        <v/>
      </c>
      <c r="T785" t="str">
        <f>IF(N785="","",IF(B785="Acquisto",R785+J785+N(G785),IF(Q785&lt;=0,0,R785*(1-MIN(1,N(D785)/Q785)))))</f>
        <v/>
      </c>
      <c r="U785" t="str">
        <f>IF(B785&lt;&gt;"Vendita","",J785-N(G785)-IF(Q785&lt;=0,0,R785*MIN(1,N(D785)/Q785)))</f>
        <v/>
      </c>
      <c r="V785" t="str">
        <f>IF(B785&lt;&gt;"Dividendo","",IF(Calcoli!$B$251=1,J785,L785))</f>
        <v/>
      </c>
      <c r="W785" t="str">
        <f>IF(AND(V785&lt;&gt;"",ISNUMBER(A785)),A785,"")</f>
        <v/>
      </c>
    </row>
    <row r="786">
      <c r="A786" s="134" t="n"/>
      <c r="B786" s="116" t="n"/>
      <c r="C786" s="116" t="n"/>
      <c r="D786" s="121" t="n"/>
      <c r="E786" s="120" t="n"/>
      <c r="F786" s="120" t="n"/>
      <c r="G786" s="120" t="n"/>
      <c r="H786" s="120" t="n"/>
      <c r="I786" s="117" t="n"/>
      <c r="J786" s="123" t="str">
        <f>IF(B786="","",IF(F786&lt;&gt;"",N(F786),ROUND(N(D786)*N(E786),2)))</f>
        <v/>
      </c>
      <c r="K786" s="123" t="str">
        <f>IF(B786="","",IF(H786&lt;&gt;"",N(H786),IF(B786="Dividendo",ROUND(J786*IFERROR(INDEX(Calcoli!$V$7:$V$21,MATCH(C786,Calcoli!$A$7:$A$21,0)),0.26),2),IF(B786="Vendita",ROUND(MAX(0,U786)*IFERROR(INDEX(Calcoli!$V$7:$V$21,MATCH(C786,Calcoli!$A$7:$A$21,0)),0.26),2),0))))</f>
        <v/>
      </c>
      <c r="L786" s="135" t="str">
        <f>IF(B786="","",IF(B786="Acquisto",-(J786+N(G786)),J786-N(G786)-K786))</f>
        <v/>
      </c>
      <c r="M786" s="127" t="str">
        <f>IF(B786="","",IF(ISNA(MATCH(C786,ETF!$A$7:$A$21,0)),"ETF?",IF(NOT(ISNUMBER(A786)),"Data?",IF(AND(B786&lt;&gt;"Dividendo",N(D786)&lt;=0),"Quote?",IF(AND(B786="Vendita",N(D786)&gt;N(Q786)+0.000001),"Quote?",IF(J786&lt;=0,"Importo?","✓"))))))</f>
        <v/>
      </c>
      <c r="N786" t="str">
        <f>IF(OR(B786="Acquisto",B786="Vendita"),COUNTIFS($C$5:C786,C786,$B$5:B786,"Acquisto")+COUNTIFS($C$5:C786,C786,$B$5:B786,"Vendita"),"")</f>
        <v/>
      </c>
      <c r="O786" t="str">
        <f>IF(N786="","",C786&amp;"|"&amp;N786)</f>
        <v/>
      </c>
      <c r="P786" t="str">
        <f>IF(N786="","",IF(N786=1,0,MATCH(C786&amp;"|"&amp;(N786-1),$O$5:$O$1004,0)))</f>
        <v/>
      </c>
      <c r="Q786" t="str">
        <f>IF(N786="","",IF(P786=0,SUMIFS(Calcoli!$C$7:$C$21,Calcoli!$A$7:$A$21,C786),INDEX($S$5:$S$1004,P786)))</f>
        <v/>
      </c>
      <c r="R786" t="str">
        <f>IF(N786="","",IF(P786=0,SUMIFS(Calcoli!$D$7:$D$21,Calcoli!$A$7:$A$21,C786),INDEX($T$5:$T$1004,P786)))</f>
        <v/>
      </c>
      <c r="S786" t="str">
        <f>IF(N786="","",IF(B786="Acquisto",Q786+N(D786),MAX(0,Q786-N(D786))))</f>
        <v/>
      </c>
      <c r="T786" t="str">
        <f>IF(N786="","",IF(B786="Acquisto",R786+J786+N(G786),IF(Q786&lt;=0,0,R786*(1-MIN(1,N(D786)/Q786)))))</f>
        <v/>
      </c>
      <c r="U786" t="str">
        <f>IF(B786&lt;&gt;"Vendita","",J786-N(G786)-IF(Q786&lt;=0,0,R786*MIN(1,N(D786)/Q786)))</f>
        <v/>
      </c>
      <c r="V786" t="str">
        <f>IF(B786&lt;&gt;"Dividendo","",IF(Calcoli!$B$251=1,J786,L786))</f>
        <v/>
      </c>
      <c r="W786" t="str">
        <f>IF(AND(V786&lt;&gt;"",ISNUMBER(A786)),A786,"")</f>
        <v/>
      </c>
    </row>
    <row r="787">
      <c r="A787" s="134" t="n"/>
      <c r="B787" s="116" t="n"/>
      <c r="C787" s="116" t="n"/>
      <c r="D787" s="121" t="n"/>
      <c r="E787" s="120" t="n"/>
      <c r="F787" s="120" t="n"/>
      <c r="G787" s="120" t="n"/>
      <c r="H787" s="120" t="n"/>
      <c r="I787" s="117" t="n"/>
      <c r="J787" s="123" t="str">
        <f>IF(B787="","",IF(F787&lt;&gt;"",N(F787),ROUND(N(D787)*N(E787),2)))</f>
        <v/>
      </c>
      <c r="K787" s="123" t="str">
        <f>IF(B787="","",IF(H787&lt;&gt;"",N(H787),IF(B787="Dividendo",ROUND(J787*IFERROR(INDEX(Calcoli!$V$7:$V$21,MATCH(C787,Calcoli!$A$7:$A$21,0)),0.26),2),IF(B787="Vendita",ROUND(MAX(0,U787)*IFERROR(INDEX(Calcoli!$V$7:$V$21,MATCH(C787,Calcoli!$A$7:$A$21,0)),0.26),2),0))))</f>
        <v/>
      </c>
      <c r="L787" s="135" t="str">
        <f>IF(B787="","",IF(B787="Acquisto",-(J787+N(G787)),J787-N(G787)-K787))</f>
        <v/>
      </c>
      <c r="M787" s="127" t="str">
        <f>IF(B787="","",IF(ISNA(MATCH(C787,ETF!$A$7:$A$21,0)),"ETF?",IF(NOT(ISNUMBER(A787)),"Data?",IF(AND(B787&lt;&gt;"Dividendo",N(D787)&lt;=0),"Quote?",IF(AND(B787="Vendita",N(D787)&gt;N(Q787)+0.000001),"Quote?",IF(J787&lt;=0,"Importo?","✓"))))))</f>
        <v/>
      </c>
      <c r="N787" t="str">
        <f>IF(OR(B787="Acquisto",B787="Vendita"),COUNTIFS($C$5:C787,C787,$B$5:B787,"Acquisto")+COUNTIFS($C$5:C787,C787,$B$5:B787,"Vendita"),"")</f>
        <v/>
      </c>
      <c r="O787" t="str">
        <f>IF(N787="","",C787&amp;"|"&amp;N787)</f>
        <v/>
      </c>
      <c r="P787" t="str">
        <f>IF(N787="","",IF(N787=1,0,MATCH(C787&amp;"|"&amp;(N787-1),$O$5:$O$1004,0)))</f>
        <v/>
      </c>
      <c r="Q787" t="str">
        <f>IF(N787="","",IF(P787=0,SUMIFS(Calcoli!$C$7:$C$21,Calcoli!$A$7:$A$21,C787),INDEX($S$5:$S$1004,P787)))</f>
        <v/>
      </c>
      <c r="R787" t="str">
        <f>IF(N787="","",IF(P787=0,SUMIFS(Calcoli!$D$7:$D$21,Calcoli!$A$7:$A$21,C787),INDEX($T$5:$T$1004,P787)))</f>
        <v/>
      </c>
      <c r="S787" t="str">
        <f>IF(N787="","",IF(B787="Acquisto",Q787+N(D787),MAX(0,Q787-N(D787))))</f>
        <v/>
      </c>
      <c r="T787" t="str">
        <f>IF(N787="","",IF(B787="Acquisto",R787+J787+N(G787),IF(Q787&lt;=0,0,R787*(1-MIN(1,N(D787)/Q787)))))</f>
        <v/>
      </c>
      <c r="U787" t="str">
        <f>IF(B787&lt;&gt;"Vendita","",J787-N(G787)-IF(Q787&lt;=0,0,R787*MIN(1,N(D787)/Q787)))</f>
        <v/>
      </c>
      <c r="V787" t="str">
        <f>IF(B787&lt;&gt;"Dividendo","",IF(Calcoli!$B$251=1,J787,L787))</f>
        <v/>
      </c>
      <c r="W787" t="str">
        <f>IF(AND(V787&lt;&gt;"",ISNUMBER(A787)),A787,"")</f>
        <v/>
      </c>
    </row>
    <row r="788">
      <c r="A788" s="134" t="n"/>
      <c r="B788" s="116" t="n"/>
      <c r="C788" s="116" t="n"/>
      <c r="D788" s="121" t="n"/>
      <c r="E788" s="120" t="n"/>
      <c r="F788" s="120" t="n"/>
      <c r="G788" s="120" t="n"/>
      <c r="H788" s="120" t="n"/>
      <c r="I788" s="117" t="n"/>
      <c r="J788" s="123" t="str">
        <f>IF(B788="","",IF(F788&lt;&gt;"",N(F788),ROUND(N(D788)*N(E788),2)))</f>
        <v/>
      </c>
      <c r="K788" s="123" t="str">
        <f>IF(B788="","",IF(H788&lt;&gt;"",N(H788),IF(B788="Dividendo",ROUND(J788*IFERROR(INDEX(Calcoli!$V$7:$V$21,MATCH(C788,Calcoli!$A$7:$A$21,0)),0.26),2),IF(B788="Vendita",ROUND(MAX(0,U788)*IFERROR(INDEX(Calcoli!$V$7:$V$21,MATCH(C788,Calcoli!$A$7:$A$21,0)),0.26),2),0))))</f>
        <v/>
      </c>
      <c r="L788" s="135" t="str">
        <f>IF(B788="","",IF(B788="Acquisto",-(J788+N(G788)),J788-N(G788)-K788))</f>
        <v/>
      </c>
      <c r="M788" s="127" t="str">
        <f>IF(B788="","",IF(ISNA(MATCH(C788,ETF!$A$7:$A$21,0)),"ETF?",IF(NOT(ISNUMBER(A788)),"Data?",IF(AND(B788&lt;&gt;"Dividendo",N(D788)&lt;=0),"Quote?",IF(AND(B788="Vendita",N(D788)&gt;N(Q788)+0.000001),"Quote?",IF(J788&lt;=0,"Importo?","✓"))))))</f>
        <v/>
      </c>
      <c r="N788" t="str">
        <f>IF(OR(B788="Acquisto",B788="Vendita"),COUNTIFS($C$5:C788,C788,$B$5:B788,"Acquisto")+COUNTIFS($C$5:C788,C788,$B$5:B788,"Vendita"),"")</f>
        <v/>
      </c>
      <c r="O788" t="str">
        <f>IF(N788="","",C788&amp;"|"&amp;N788)</f>
        <v/>
      </c>
      <c r="P788" t="str">
        <f>IF(N788="","",IF(N788=1,0,MATCH(C788&amp;"|"&amp;(N788-1),$O$5:$O$1004,0)))</f>
        <v/>
      </c>
      <c r="Q788" t="str">
        <f>IF(N788="","",IF(P788=0,SUMIFS(Calcoli!$C$7:$C$21,Calcoli!$A$7:$A$21,C788),INDEX($S$5:$S$1004,P788)))</f>
        <v/>
      </c>
      <c r="R788" t="str">
        <f>IF(N788="","",IF(P788=0,SUMIFS(Calcoli!$D$7:$D$21,Calcoli!$A$7:$A$21,C788),INDEX($T$5:$T$1004,P788)))</f>
        <v/>
      </c>
      <c r="S788" t="str">
        <f>IF(N788="","",IF(B788="Acquisto",Q788+N(D788),MAX(0,Q788-N(D788))))</f>
        <v/>
      </c>
      <c r="T788" t="str">
        <f>IF(N788="","",IF(B788="Acquisto",R788+J788+N(G788),IF(Q788&lt;=0,0,R788*(1-MIN(1,N(D788)/Q788)))))</f>
        <v/>
      </c>
      <c r="U788" t="str">
        <f>IF(B788&lt;&gt;"Vendita","",J788-N(G788)-IF(Q788&lt;=0,0,R788*MIN(1,N(D788)/Q788)))</f>
        <v/>
      </c>
      <c r="V788" t="str">
        <f>IF(B788&lt;&gt;"Dividendo","",IF(Calcoli!$B$251=1,J788,L788))</f>
        <v/>
      </c>
      <c r="W788" t="str">
        <f>IF(AND(V788&lt;&gt;"",ISNUMBER(A788)),A788,"")</f>
        <v/>
      </c>
    </row>
    <row r="789">
      <c r="A789" s="134" t="n"/>
      <c r="B789" s="116" t="n"/>
      <c r="C789" s="116" t="n"/>
      <c r="D789" s="121" t="n"/>
      <c r="E789" s="120" t="n"/>
      <c r="F789" s="120" t="n"/>
      <c r="G789" s="120" t="n"/>
      <c r="H789" s="120" t="n"/>
      <c r="I789" s="117" t="n"/>
      <c r="J789" s="123" t="str">
        <f>IF(B789="","",IF(F789&lt;&gt;"",N(F789),ROUND(N(D789)*N(E789),2)))</f>
        <v/>
      </c>
      <c r="K789" s="123" t="str">
        <f>IF(B789="","",IF(H789&lt;&gt;"",N(H789),IF(B789="Dividendo",ROUND(J789*IFERROR(INDEX(Calcoli!$V$7:$V$21,MATCH(C789,Calcoli!$A$7:$A$21,0)),0.26),2),IF(B789="Vendita",ROUND(MAX(0,U789)*IFERROR(INDEX(Calcoli!$V$7:$V$21,MATCH(C789,Calcoli!$A$7:$A$21,0)),0.26),2),0))))</f>
        <v/>
      </c>
      <c r="L789" s="135" t="str">
        <f>IF(B789="","",IF(B789="Acquisto",-(J789+N(G789)),J789-N(G789)-K789))</f>
        <v/>
      </c>
      <c r="M789" s="127" t="str">
        <f>IF(B789="","",IF(ISNA(MATCH(C789,ETF!$A$7:$A$21,0)),"ETF?",IF(NOT(ISNUMBER(A789)),"Data?",IF(AND(B789&lt;&gt;"Dividendo",N(D789)&lt;=0),"Quote?",IF(AND(B789="Vendita",N(D789)&gt;N(Q789)+0.000001),"Quote?",IF(J789&lt;=0,"Importo?","✓"))))))</f>
        <v/>
      </c>
      <c r="N789" t="str">
        <f>IF(OR(B789="Acquisto",B789="Vendita"),COUNTIFS($C$5:C789,C789,$B$5:B789,"Acquisto")+COUNTIFS($C$5:C789,C789,$B$5:B789,"Vendita"),"")</f>
        <v/>
      </c>
      <c r="O789" t="str">
        <f>IF(N789="","",C789&amp;"|"&amp;N789)</f>
        <v/>
      </c>
      <c r="P789" t="str">
        <f>IF(N789="","",IF(N789=1,0,MATCH(C789&amp;"|"&amp;(N789-1),$O$5:$O$1004,0)))</f>
        <v/>
      </c>
      <c r="Q789" t="str">
        <f>IF(N789="","",IF(P789=0,SUMIFS(Calcoli!$C$7:$C$21,Calcoli!$A$7:$A$21,C789),INDEX($S$5:$S$1004,P789)))</f>
        <v/>
      </c>
      <c r="R789" t="str">
        <f>IF(N789="","",IF(P789=0,SUMIFS(Calcoli!$D$7:$D$21,Calcoli!$A$7:$A$21,C789),INDEX($T$5:$T$1004,P789)))</f>
        <v/>
      </c>
      <c r="S789" t="str">
        <f>IF(N789="","",IF(B789="Acquisto",Q789+N(D789),MAX(0,Q789-N(D789))))</f>
        <v/>
      </c>
      <c r="T789" t="str">
        <f>IF(N789="","",IF(B789="Acquisto",R789+J789+N(G789),IF(Q789&lt;=0,0,R789*(1-MIN(1,N(D789)/Q789)))))</f>
        <v/>
      </c>
      <c r="U789" t="str">
        <f>IF(B789&lt;&gt;"Vendita","",J789-N(G789)-IF(Q789&lt;=0,0,R789*MIN(1,N(D789)/Q789)))</f>
        <v/>
      </c>
      <c r="V789" t="str">
        <f>IF(B789&lt;&gt;"Dividendo","",IF(Calcoli!$B$251=1,J789,L789))</f>
        <v/>
      </c>
      <c r="W789" t="str">
        <f>IF(AND(V789&lt;&gt;"",ISNUMBER(A789)),A789,"")</f>
        <v/>
      </c>
    </row>
    <row r="790">
      <c r="A790" s="134" t="n"/>
      <c r="B790" s="116" t="n"/>
      <c r="C790" s="116" t="n"/>
      <c r="D790" s="121" t="n"/>
      <c r="E790" s="120" t="n"/>
      <c r="F790" s="120" t="n"/>
      <c r="G790" s="120" t="n"/>
      <c r="H790" s="120" t="n"/>
      <c r="I790" s="117" t="n"/>
      <c r="J790" s="123" t="str">
        <f>IF(B790="","",IF(F790&lt;&gt;"",N(F790),ROUND(N(D790)*N(E790),2)))</f>
        <v/>
      </c>
      <c r="K790" s="123" t="str">
        <f>IF(B790="","",IF(H790&lt;&gt;"",N(H790),IF(B790="Dividendo",ROUND(J790*IFERROR(INDEX(Calcoli!$V$7:$V$21,MATCH(C790,Calcoli!$A$7:$A$21,0)),0.26),2),IF(B790="Vendita",ROUND(MAX(0,U790)*IFERROR(INDEX(Calcoli!$V$7:$V$21,MATCH(C790,Calcoli!$A$7:$A$21,0)),0.26),2),0))))</f>
        <v/>
      </c>
      <c r="L790" s="135" t="str">
        <f>IF(B790="","",IF(B790="Acquisto",-(J790+N(G790)),J790-N(G790)-K790))</f>
        <v/>
      </c>
      <c r="M790" s="127" t="str">
        <f>IF(B790="","",IF(ISNA(MATCH(C790,ETF!$A$7:$A$21,0)),"ETF?",IF(NOT(ISNUMBER(A790)),"Data?",IF(AND(B790&lt;&gt;"Dividendo",N(D790)&lt;=0),"Quote?",IF(AND(B790="Vendita",N(D790)&gt;N(Q790)+0.000001),"Quote?",IF(J790&lt;=0,"Importo?","✓"))))))</f>
        <v/>
      </c>
      <c r="N790" t="str">
        <f>IF(OR(B790="Acquisto",B790="Vendita"),COUNTIFS($C$5:C790,C790,$B$5:B790,"Acquisto")+COUNTIFS($C$5:C790,C790,$B$5:B790,"Vendita"),"")</f>
        <v/>
      </c>
      <c r="O790" t="str">
        <f>IF(N790="","",C790&amp;"|"&amp;N790)</f>
        <v/>
      </c>
      <c r="P790" t="str">
        <f>IF(N790="","",IF(N790=1,0,MATCH(C790&amp;"|"&amp;(N790-1),$O$5:$O$1004,0)))</f>
        <v/>
      </c>
      <c r="Q790" t="str">
        <f>IF(N790="","",IF(P790=0,SUMIFS(Calcoli!$C$7:$C$21,Calcoli!$A$7:$A$21,C790),INDEX($S$5:$S$1004,P790)))</f>
        <v/>
      </c>
      <c r="R790" t="str">
        <f>IF(N790="","",IF(P790=0,SUMIFS(Calcoli!$D$7:$D$21,Calcoli!$A$7:$A$21,C790),INDEX($T$5:$T$1004,P790)))</f>
        <v/>
      </c>
      <c r="S790" t="str">
        <f>IF(N790="","",IF(B790="Acquisto",Q790+N(D790),MAX(0,Q790-N(D790))))</f>
        <v/>
      </c>
      <c r="T790" t="str">
        <f>IF(N790="","",IF(B790="Acquisto",R790+J790+N(G790),IF(Q790&lt;=0,0,R790*(1-MIN(1,N(D790)/Q790)))))</f>
        <v/>
      </c>
      <c r="U790" t="str">
        <f>IF(B790&lt;&gt;"Vendita","",J790-N(G790)-IF(Q790&lt;=0,0,R790*MIN(1,N(D790)/Q790)))</f>
        <v/>
      </c>
      <c r="V790" t="str">
        <f>IF(B790&lt;&gt;"Dividendo","",IF(Calcoli!$B$251=1,J790,L790))</f>
        <v/>
      </c>
      <c r="W790" t="str">
        <f>IF(AND(V790&lt;&gt;"",ISNUMBER(A790)),A790,"")</f>
        <v/>
      </c>
    </row>
    <row r="791">
      <c r="A791" s="134" t="n"/>
      <c r="B791" s="116" t="n"/>
      <c r="C791" s="116" t="n"/>
      <c r="D791" s="121" t="n"/>
      <c r="E791" s="120" t="n"/>
      <c r="F791" s="120" t="n"/>
      <c r="G791" s="120" t="n"/>
      <c r="H791" s="120" t="n"/>
      <c r="I791" s="117" t="n"/>
      <c r="J791" s="123" t="str">
        <f>IF(B791="","",IF(F791&lt;&gt;"",N(F791),ROUND(N(D791)*N(E791),2)))</f>
        <v/>
      </c>
      <c r="K791" s="123" t="str">
        <f>IF(B791="","",IF(H791&lt;&gt;"",N(H791),IF(B791="Dividendo",ROUND(J791*IFERROR(INDEX(Calcoli!$V$7:$V$21,MATCH(C791,Calcoli!$A$7:$A$21,0)),0.26),2),IF(B791="Vendita",ROUND(MAX(0,U791)*IFERROR(INDEX(Calcoli!$V$7:$V$21,MATCH(C791,Calcoli!$A$7:$A$21,0)),0.26),2),0))))</f>
        <v/>
      </c>
      <c r="L791" s="135" t="str">
        <f>IF(B791="","",IF(B791="Acquisto",-(J791+N(G791)),J791-N(G791)-K791))</f>
        <v/>
      </c>
      <c r="M791" s="127" t="str">
        <f>IF(B791="","",IF(ISNA(MATCH(C791,ETF!$A$7:$A$21,0)),"ETF?",IF(NOT(ISNUMBER(A791)),"Data?",IF(AND(B791&lt;&gt;"Dividendo",N(D791)&lt;=0),"Quote?",IF(AND(B791="Vendita",N(D791)&gt;N(Q791)+0.000001),"Quote?",IF(J791&lt;=0,"Importo?","✓"))))))</f>
        <v/>
      </c>
      <c r="N791" t="str">
        <f>IF(OR(B791="Acquisto",B791="Vendita"),COUNTIFS($C$5:C791,C791,$B$5:B791,"Acquisto")+COUNTIFS($C$5:C791,C791,$B$5:B791,"Vendita"),"")</f>
        <v/>
      </c>
      <c r="O791" t="str">
        <f>IF(N791="","",C791&amp;"|"&amp;N791)</f>
        <v/>
      </c>
      <c r="P791" t="str">
        <f>IF(N791="","",IF(N791=1,0,MATCH(C791&amp;"|"&amp;(N791-1),$O$5:$O$1004,0)))</f>
        <v/>
      </c>
      <c r="Q791" t="str">
        <f>IF(N791="","",IF(P791=0,SUMIFS(Calcoli!$C$7:$C$21,Calcoli!$A$7:$A$21,C791),INDEX($S$5:$S$1004,P791)))</f>
        <v/>
      </c>
      <c r="R791" t="str">
        <f>IF(N791="","",IF(P791=0,SUMIFS(Calcoli!$D$7:$D$21,Calcoli!$A$7:$A$21,C791),INDEX($T$5:$T$1004,P791)))</f>
        <v/>
      </c>
      <c r="S791" t="str">
        <f>IF(N791="","",IF(B791="Acquisto",Q791+N(D791),MAX(0,Q791-N(D791))))</f>
        <v/>
      </c>
      <c r="T791" t="str">
        <f>IF(N791="","",IF(B791="Acquisto",R791+J791+N(G791),IF(Q791&lt;=0,0,R791*(1-MIN(1,N(D791)/Q791)))))</f>
        <v/>
      </c>
      <c r="U791" t="str">
        <f>IF(B791&lt;&gt;"Vendita","",J791-N(G791)-IF(Q791&lt;=0,0,R791*MIN(1,N(D791)/Q791)))</f>
        <v/>
      </c>
      <c r="V791" t="str">
        <f>IF(B791&lt;&gt;"Dividendo","",IF(Calcoli!$B$251=1,J791,L791))</f>
        <v/>
      </c>
      <c r="W791" t="str">
        <f>IF(AND(V791&lt;&gt;"",ISNUMBER(A791)),A791,"")</f>
        <v/>
      </c>
    </row>
    <row r="792">
      <c r="A792" s="134" t="n"/>
      <c r="B792" s="116" t="n"/>
      <c r="C792" s="116" t="n"/>
      <c r="D792" s="121" t="n"/>
      <c r="E792" s="120" t="n"/>
      <c r="F792" s="120" t="n"/>
      <c r="G792" s="120" t="n"/>
      <c r="H792" s="120" t="n"/>
      <c r="I792" s="117" t="n"/>
      <c r="J792" s="123" t="str">
        <f>IF(B792="","",IF(F792&lt;&gt;"",N(F792),ROUND(N(D792)*N(E792),2)))</f>
        <v/>
      </c>
      <c r="K792" s="123" t="str">
        <f>IF(B792="","",IF(H792&lt;&gt;"",N(H792),IF(B792="Dividendo",ROUND(J792*IFERROR(INDEX(Calcoli!$V$7:$V$21,MATCH(C792,Calcoli!$A$7:$A$21,0)),0.26),2),IF(B792="Vendita",ROUND(MAX(0,U792)*IFERROR(INDEX(Calcoli!$V$7:$V$21,MATCH(C792,Calcoli!$A$7:$A$21,0)),0.26),2),0))))</f>
        <v/>
      </c>
      <c r="L792" s="135" t="str">
        <f>IF(B792="","",IF(B792="Acquisto",-(J792+N(G792)),J792-N(G792)-K792))</f>
        <v/>
      </c>
      <c r="M792" s="127" t="str">
        <f>IF(B792="","",IF(ISNA(MATCH(C792,ETF!$A$7:$A$21,0)),"ETF?",IF(NOT(ISNUMBER(A792)),"Data?",IF(AND(B792&lt;&gt;"Dividendo",N(D792)&lt;=0),"Quote?",IF(AND(B792="Vendita",N(D792)&gt;N(Q792)+0.000001),"Quote?",IF(J792&lt;=0,"Importo?","✓"))))))</f>
        <v/>
      </c>
      <c r="N792" t="str">
        <f>IF(OR(B792="Acquisto",B792="Vendita"),COUNTIFS($C$5:C792,C792,$B$5:B792,"Acquisto")+COUNTIFS($C$5:C792,C792,$B$5:B792,"Vendita"),"")</f>
        <v/>
      </c>
      <c r="O792" t="str">
        <f>IF(N792="","",C792&amp;"|"&amp;N792)</f>
        <v/>
      </c>
      <c r="P792" t="str">
        <f>IF(N792="","",IF(N792=1,0,MATCH(C792&amp;"|"&amp;(N792-1),$O$5:$O$1004,0)))</f>
        <v/>
      </c>
      <c r="Q792" t="str">
        <f>IF(N792="","",IF(P792=0,SUMIFS(Calcoli!$C$7:$C$21,Calcoli!$A$7:$A$21,C792),INDEX($S$5:$S$1004,P792)))</f>
        <v/>
      </c>
      <c r="R792" t="str">
        <f>IF(N792="","",IF(P792=0,SUMIFS(Calcoli!$D$7:$D$21,Calcoli!$A$7:$A$21,C792),INDEX($T$5:$T$1004,P792)))</f>
        <v/>
      </c>
      <c r="S792" t="str">
        <f>IF(N792="","",IF(B792="Acquisto",Q792+N(D792),MAX(0,Q792-N(D792))))</f>
        <v/>
      </c>
      <c r="T792" t="str">
        <f>IF(N792="","",IF(B792="Acquisto",R792+J792+N(G792),IF(Q792&lt;=0,0,R792*(1-MIN(1,N(D792)/Q792)))))</f>
        <v/>
      </c>
      <c r="U792" t="str">
        <f>IF(B792&lt;&gt;"Vendita","",J792-N(G792)-IF(Q792&lt;=0,0,R792*MIN(1,N(D792)/Q792)))</f>
        <v/>
      </c>
      <c r="V792" t="str">
        <f>IF(B792&lt;&gt;"Dividendo","",IF(Calcoli!$B$251=1,J792,L792))</f>
        <v/>
      </c>
      <c r="W792" t="str">
        <f>IF(AND(V792&lt;&gt;"",ISNUMBER(A792)),A792,"")</f>
        <v/>
      </c>
    </row>
    <row r="793">
      <c r="A793" s="134" t="n"/>
      <c r="B793" s="116" t="n"/>
      <c r="C793" s="116" t="n"/>
      <c r="D793" s="121" t="n"/>
      <c r="E793" s="120" t="n"/>
      <c r="F793" s="120" t="n"/>
      <c r="G793" s="120" t="n"/>
      <c r="H793" s="120" t="n"/>
      <c r="I793" s="117" t="n"/>
      <c r="J793" s="123" t="str">
        <f>IF(B793="","",IF(F793&lt;&gt;"",N(F793),ROUND(N(D793)*N(E793),2)))</f>
        <v/>
      </c>
      <c r="K793" s="123" t="str">
        <f>IF(B793="","",IF(H793&lt;&gt;"",N(H793),IF(B793="Dividendo",ROUND(J793*IFERROR(INDEX(Calcoli!$V$7:$V$21,MATCH(C793,Calcoli!$A$7:$A$21,0)),0.26),2),IF(B793="Vendita",ROUND(MAX(0,U793)*IFERROR(INDEX(Calcoli!$V$7:$V$21,MATCH(C793,Calcoli!$A$7:$A$21,0)),0.26),2),0))))</f>
        <v/>
      </c>
      <c r="L793" s="135" t="str">
        <f>IF(B793="","",IF(B793="Acquisto",-(J793+N(G793)),J793-N(G793)-K793))</f>
        <v/>
      </c>
      <c r="M793" s="127" t="str">
        <f>IF(B793="","",IF(ISNA(MATCH(C793,ETF!$A$7:$A$21,0)),"ETF?",IF(NOT(ISNUMBER(A793)),"Data?",IF(AND(B793&lt;&gt;"Dividendo",N(D793)&lt;=0),"Quote?",IF(AND(B793="Vendita",N(D793)&gt;N(Q793)+0.000001),"Quote?",IF(J793&lt;=0,"Importo?","✓"))))))</f>
        <v/>
      </c>
      <c r="N793" t="str">
        <f>IF(OR(B793="Acquisto",B793="Vendita"),COUNTIFS($C$5:C793,C793,$B$5:B793,"Acquisto")+COUNTIFS($C$5:C793,C793,$B$5:B793,"Vendita"),"")</f>
        <v/>
      </c>
      <c r="O793" t="str">
        <f>IF(N793="","",C793&amp;"|"&amp;N793)</f>
        <v/>
      </c>
      <c r="P793" t="str">
        <f>IF(N793="","",IF(N793=1,0,MATCH(C793&amp;"|"&amp;(N793-1),$O$5:$O$1004,0)))</f>
        <v/>
      </c>
      <c r="Q793" t="str">
        <f>IF(N793="","",IF(P793=0,SUMIFS(Calcoli!$C$7:$C$21,Calcoli!$A$7:$A$21,C793),INDEX($S$5:$S$1004,P793)))</f>
        <v/>
      </c>
      <c r="R793" t="str">
        <f>IF(N793="","",IF(P793=0,SUMIFS(Calcoli!$D$7:$D$21,Calcoli!$A$7:$A$21,C793),INDEX($T$5:$T$1004,P793)))</f>
        <v/>
      </c>
      <c r="S793" t="str">
        <f>IF(N793="","",IF(B793="Acquisto",Q793+N(D793),MAX(0,Q793-N(D793))))</f>
        <v/>
      </c>
      <c r="T793" t="str">
        <f>IF(N793="","",IF(B793="Acquisto",R793+J793+N(G793),IF(Q793&lt;=0,0,R793*(1-MIN(1,N(D793)/Q793)))))</f>
        <v/>
      </c>
      <c r="U793" t="str">
        <f>IF(B793&lt;&gt;"Vendita","",J793-N(G793)-IF(Q793&lt;=0,0,R793*MIN(1,N(D793)/Q793)))</f>
        <v/>
      </c>
      <c r="V793" t="str">
        <f>IF(B793&lt;&gt;"Dividendo","",IF(Calcoli!$B$251=1,J793,L793))</f>
        <v/>
      </c>
      <c r="W793" t="str">
        <f>IF(AND(V793&lt;&gt;"",ISNUMBER(A793)),A793,"")</f>
        <v/>
      </c>
    </row>
    <row r="794">
      <c r="A794" s="134" t="n"/>
      <c r="B794" s="116" t="n"/>
      <c r="C794" s="116" t="n"/>
      <c r="D794" s="121" t="n"/>
      <c r="E794" s="120" t="n"/>
      <c r="F794" s="120" t="n"/>
      <c r="G794" s="120" t="n"/>
      <c r="H794" s="120" t="n"/>
      <c r="I794" s="117" t="n"/>
      <c r="J794" s="123" t="str">
        <f>IF(B794="","",IF(F794&lt;&gt;"",N(F794),ROUND(N(D794)*N(E794),2)))</f>
        <v/>
      </c>
      <c r="K794" s="123" t="str">
        <f>IF(B794="","",IF(H794&lt;&gt;"",N(H794),IF(B794="Dividendo",ROUND(J794*IFERROR(INDEX(Calcoli!$V$7:$V$21,MATCH(C794,Calcoli!$A$7:$A$21,0)),0.26),2),IF(B794="Vendita",ROUND(MAX(0,U794)*IFERROR(INDEX(Calcoli!$V$7:$V$21,MATCH(C794,Calcoli!$A$7:$A$21,0)),0.26),2),0))))</f>
        <v/>
      </c>
      <c r="L794" s="135" t="str">
        <f>IF(B794="","",IF(B794="Acquisto",-(J794+N(G794)),J794-N(G794)-K794))</f>
        <v/>
      </c>
      <c r="M794" s="127" t="str">
        <f>IF(B794="","",IF(ISNA(MATCH(C794,ETF!$A$7:$A$21,0)),"ETF?",IF(NOT(ISNUMBER(A794)),"Data?",IF(AND(B794&lt;&gt;"Dividendo",N(D794)&lt;=0),"Quote?",IF(AND(B794="Vendita",N(D794)&gt;N(Q794)+0.000001),"Quote?",IF(J794&lt;=0,"Importo?","✓"))))))</f>
        <v/>
      </c>
      <c r="N794" t="str">
        <f>IF(OR(B794="Acquisto",B794="Vendita"),COUNTIFS($C$5:C794,C794,$B$5:B794,"Acquisto")+COUNTIFS($C$5:C794,C794,$B$5:B794,"Vendita"),"")</f>
        <v/>
      </c>
      <c r="O794" t="str">
        <f>IF(N794="","",C794&amp;"|"&amp;N794)</f>
        <v/>
      </c>
      <c r="P794" t="str">
        <f>IF(N794="","",IF(N794=1,0,MATCH(C794&amp;"|"&amp;(N794-1),$O$5:$O$1004,0)))</f>
        <v/>
      </c>
      <c r="Q794" t="str">
        <f>IF(N794="","",IF(P794=0,SUMIFS(Calcoli!$C$7:$C$21,Calcoli!$A$7:$A$21,C794),INDEX($S$5:$S$1004,P794)))</f>
        <v/>
      </c>
      <c r="R794" t="str">
        <f>IF(N794="","",IF(P794=0,SUMIFS(Calcoli!$D$7:$D$21,Calcoli!$A$7:$A$21,C794),INDEX($T$5:$T$1004,P794)))</f>
        <v/>
      </c>
      <c r="S794" t="str">
        <f>IF(N794="","",IF(B794="Acquisto",Q794+N(D794),MAX(0,Q794-N(D794))))</f>
        <v/>
      </c>
      <c r="T794" t="str">
        <f>IF(N794="","",IF(B794="Acquisto",R794+J794+N(G794),IF(Q794&lt;=0,0,R794*(1-MIN(1,N(D794)/Q794)))))</f>
        <v/>
      </c>
      <c r="U794" t="str">
        <f>IF(B794&lt;&gt;"Vendita","",J794-N(G794)-IF(Q794&lt;=0,0,R794*MIN(1,N(D794)/Q794)))</f>
        <v/>
      </c>
      <c r="V794" t="str">
        <f>IF(B794&lt;&gt;"Dividendo","",IF(Calcoli!$B$251=1,J794,L794))</f>
        <v/>
      </c>
      <c r="W794" t="str">
        <f>IF(AND(V794&lt;&gt;"",ISNUMBER(A794)),A794,"")</f>
        <v/>
      </c>
    </row>
    <row r="795">
      <c r="A795" s="134" t="n"/>
      <c r="B795" s="116" t="n"/>
      <c r="C795" s="116" t="n"/>
      <c r="D795" s="121" t="n"/>
      <c r="E795" s="120" t="n"/>
      <c r="F795" s="120" t="n"/>
      <c r="G795" s="120" t="n"/>
      <c r="H795" s="120" t="n"/>
      <c r="I795" s="117" t="n"/>
      <c r="J795" s="123" t="str">
        <f>IF(B795="","",IF(F795&lt;&gt;"",N(F795),ROUND(N(D795)*N(E795),2)))</f>
        <v/>
      </c>
      <c r="K795" s="123" t="str">
        <f>IF(B795="","",IF(H795&lt;&gt;"",N(H795),IF(B795="Dividendo",ROUND(J795*IFERROR(INDEX(Calcoli!$V$7:$V$21,MATCH(C795,Calcoli!$A$7:$A$21,0)),0.26),2),IF(B795="Vendita",ROUND(MAX(0,U795)*IFERROR(INDEX(Calcoli!$V$7:$V$21,MATCH(C795,Calcoli!$A$7:$A$21,0)),0.26),2),0))))</f>
        <v/>
      </c>
      <c r="L795" s="135" t="str">
        <f>IF(B795="","",IF(B795="Acquisto",-(J795+N(G795)),J795-N(G795)-K795))</f>
        <v/>
      </c>
      <c r="M795" s="127" t="str">
        <f>IF(B795="","",IF(ISNA(MATCH(C795,ETF!$A$7:$A$21,0)),"ETF?",IF(NOT(ISNUMBER(A795)),"Data?",IF(AND(B795&lt;&gt;"Dividendo",N(D795)&lt;=0),"Quote?",IF(AND(B795="Vendita",N(D795)&gt;N(Q795)+0.000001),"Quote?",IF(J795&lt;=0,"Importo?","✓"))))))</f>
        <v/>
      </c>
      <c r="N795" t="str">
        <f>IF(OR(B795="Acquisto",B795="Vendita"),COUNTIFS($C$5:C795,C795,$B$5:B795,"Acquisto")+COUNTIFS($C$5:C795,C795,$B$5:B795,"Vendita"),"")</f>
        <v/>
      </c>
      <c r="O795" t="str">
        <f>IF(N795="","",C795&amp;"|"&amp;N795)</f>
        <v/>
      </c>
      <c r="P795" t="str">
        <f>IF(N795="","",IF(N795=1,0,MATCH(C795&amp;"|"&amp;(N795-1),$O$5:$O$1004,0)))</f>
        <v/>
      </c>
      <c r="Q795" t="str">
        <f>IF(N795="","",IF(P795=0,SUMIFS(Calcoli!$C$7:$C$21,Calcoli!$A$7:$A$21,C795),INDEX($S$5:$S$1004,P795)))</f>
        <v/>
      </c>
      <c r="R795" t="str">
        <f>IF(N795="","",IF(P795=0,SUMIFS(Calcoli!$D$7:$D$21,Calcoli!$A$7:$A$21,C795),INDEX($T$5:$T$1004,P795)))</f>
        <v/>
      </c>
      <c r="S795" t="str">
        <f>IF(N795="","",IF(B795="Acquisto",Q795+N(D795),MAX(0,Q795-N(D795))))</f>
        <v/>
      </c>
      <c r="T795" t="str">
        <f>IF(N795="","",IF(B795="Acquisto",R795+J795+N(G795),IF(Q795&lt;=0,0,R795*(1-MIN(1,N(D795)/Q795)))))</f>
        <v/>
      </c>
      <c r="U795" t="str">
        <f>IF(B795&lt;&gt;"Vendita","",J795-N(G795)-IF(Q795&lt;=0,0,R795*MIN(1,N(D795)/Q795)))</f>
        <v/>
      </c>
      <c r="V795" t="str">
        <f>IF(B795&lt;&gt;"Dividendo","",IF(Calcoli!$B$251=1,J795,L795))</f>
        <v/>
      </c>
      <c r="W795" t="str">
        <f>IF(AND(V795&lt;&gt;"",ISNUMBER(A795)),A795,"")</f>
        <v/>
      </c>
    </row>
    <row r="796">
      <c r="A796" s="134" t="n"/>
      <c r="B796" s="116" t="n"/>
      <c r="C796" s="116" t="n"/>
      <c r="D796" s="121" t="n"/>
      <c r="E796" s="120" t="n"/>
      <c r="F796" s="120" t="n"/>
      <c r="G796" s="120" t="n"/>
      <c r="H796" s="120" t="n"/>
      <c r="I796" s="117" t="n"/>
      <c r="J796" s="123" t="str">
        <f>IF(B796="","",IF(F796&lt;&gt;"",N(F796),ROUND(N(D796)*N(E796),2)))</f>
        <v/>
      </c>
      <c r="K796" s="123" t="str">
        <f>IF(B796="","",IF(H796&lt;&gt;"",N(H796),IF(B796="Dividendo",ROUND(J796*IFERROR(INDEX(Calcoli!$V$7:$V$21,MATCH(C796,Calcoli!$A$7:$A$21,0)),0.26),2),IF(B796="Vendita",ROUND(MAX(0,U796)*IFERROR(INDEX(Calcoli!$V$7:$V$21,MATCH(C796,Calcoli!$A$7:$A$21,0)),0.26),2),0))))</f>
        <v/>
      </c>
      <c r="L796" s="135" t="str">
        <f>IF(B796="","",IF(B796="Acquisto",-(J796+N(G796)),J796-N(G796)-K796))</f>
        <v/>
      </c>
      <c r="M796" s="127" t="str">
        <f>IF(B796="","",IF(ISNA(MATCH(C796,ETF!$A$7:$A$21,0)),"ETF?",IF(NOT(ISNUMBER(A796)),"Data?",IF(AND(B796&lt;&gt;"Dividendo",N(D796)&lt;=0),"Quote?",IF(AND(B796="Vendita",N(D796)&gt;N(Q796)+0.000001),"Quote?",IF(J796&lt;=0,"Importo?","✓"))))))</f>
        <v/>
      </c>
      <c r="N796" t="str">
        <f>IF(OR(B796="Acquisto",B796="Vendita"),COUNTIFS($C$5:C796,C796,$B$5:B796,"Acquisto")+COUNTIFS($C$5:C796,C796,$B$5:B796,"Vendita"),"")</f>
        <v/>
      </c>
      <c r="O796" t="str">
        <f>IF(N796="","",C796&amp;"|"&amp;N796)</f>
        <v/>
      </c>
      <c r="P796" t="str">
        <f>IF(N796="","",IF(N796=1,0,MATCH(C796&amp;"|"&amp;(N796-1),$O$5:$O$1004,0)))</f>
        <v/>
      </c>
      <c r="Q796" t="str">
        <f>IF(N796="","",IF(P796=0,SUMIFS(Calcoli!$C$7:$C$21,Calcoli!$A$7:$A$21,C796),INDEX($S$5:$S$1004,P796)))</f>
        <v/>
      </c>
      <c r="R796" t="str">
        <f>IF(N796="","",IF(P796=0,SUMIFS(Calcoli!$D$7:$D$21,Calcoli!$A$7:$A$21,C796),INDEX($T$5:$T$1004,P796)))</f>
        <v/>
      </c>
      <c r="S796" t="str">
        <f>IF(N796="","",IF(B796="Acquisto",Q796+N(D796),MAX(0,Q796-N(D796))))</f>
        <v/>
      </c>
      <c r="T796" t="str">
        <f>IF(N796="","",IF(B796="Acquisto",R796+J796+N(G796),IF(Q796&lt;=0,0,R796*(1-MIN(1,N(D796)/Q796)))))</f>
        <v/>
      </c>
      <c r="U796" t="str">
        <f>IF(B796&lt;&gt;"Vendita","",J796-N(G796)-IF(Q796&lt;=0,0,R796*MIN(1,N(D796)/Q796)))</f>
        <v/>
      </c>
      <c r="V796" t="str">
        <f>IF(B796&lt;&gt;"Dividendo","",IF(Calcoli!$B$251=1,J796,L796))</f>
        <v/>
      </c>
      <c r="W796" t="str">
        <f>IF(AND(V796&lt;&gt;"",ISNUMBER(A796)),A796,"")</f>
        <v/>
      </c>
    </row>
    <row r="797">
      <c r="A797" s="134" t="n"/>
      <c r="B797" s="116" t="n"/>
      <c r="C797" s="116" t="n"/>
      <c r="D797" s="121" t="n"/>
      <c r="E797" s="120" t="n"/>
      <c r="F797" s="120" t="n"/>
      <c r="G797" s="120" t="n"/>
      <c r="H797" s="120" t="n"/>
      <c r="I797" s="117" t="n"/>
      <c r="J797" s="123" t="str">
        <f>IF(B797="","",IF(F797&lt;&gt;"",N(F797),ROUND(N(D797)*N(E797),2)))</f>
        <v/>
      </c>
      <c r="K797" s="123" t="str">
        <f>IF(B797="","",IF(H797&lt;&gt;"",N(H797),IF(B797="Dividendo",ROUND(J797*IFERROR(INDEX(Calcoli!$V$7:$V$21,MATCH(C797,Calcoli!$A$7:$A$21,0)),0.26),2),IF(B797="Vendita",ROUND(MAX(0,U797)*IFERROR(INDEX(Calcoli!$V$7:$V$21,MATCH(C797,Calcoli!$A$7:$A$21,0)),0.26),2),0))))</f>
        <v/>
      </c>
      <c r="L797" s="135" t="str">
        <f>IF(B797="","",IF(B797="Acquisto",-(J797+N(G797)),J797-N(G797)-K797))</f>
        <v/>
      </c>
      <c r="M797" s="127" t="str">
        <f>IF(B797="","",IF(ISNA(MATCH(C797,ETF!$A$7:$A$21,0)),"ETF?",IF(NOT(ISNUMBER(A797)),"Data?",IF(AND(B797&lt;&gt;"Dividendo",N(D797)&lt;=0),"Quote?",IF(AND(B797="Vendita",N(D797)&gt;N(Q797)+0.000001),"Quote?",IF(J797&lt;=0,"Importo?","✓"))))))</f>
        <v/>
      </c>
      <c r="N797" t="str">
        <f>IF(OR(B797="Acquisto",B797="Vendita"),COUNTIFS($C$5:C797,C797,$B$5:B797,"Acquisto")+COUNTIFS($C$5:C797,C797,$B$5:B797,"Vendita"),"")</f>
        <v/>
      </c>
      <c r="O797" t="str">
        <f>IF(N797="","",C797&amp;"|"&amp;N797)</f>
        <v/>
      </c>
      <c r="P797" t="str">
        <f>IF(N797="","",IF(N797=1,0,MATCH(C797&amp;"|"&amp;(N797-1),$O$5:$O$1004,0)))</f>
        <v/>
      </c>
      <c r="Q797" t="str">
        <f>IF(N797="","",IF(P797=0,SUMIFS(Calcoli!$C$7:$C$21,Calcoli!$A$7:$A$21,C797),INDEX($S$5:$S$1004,P797)))</f>
        <v/>
      </c>
      <c r="R797" t="str">
        <f>IF(N797="","",IF(P797=0,SUMIFS(Calcoli!$D$7:$D$21,Calcoli!$A$7:$A$21,C797),INDEX($T$5:$T$1004,P797)))</f>
        <v/>
      </c>
      <c r="S797" t="str">
        <f>IF(N797="","",IF(B797="Acquisto",Q797+N(D797),MAX(0,Q797-N(D797))))</f>
        <v/>
      </c>
      <c r="T797" t="str">
        <f>IF(N797="","",IF(B797="Acquisto",R797+J797+N(G797),IF(Q797&lt;=0,0,R797*(1-MIN(1,N(D797)/Q797)))))</f>
        <v/>
      </c>
      <c r="U797" t="str">
        <f>IF(B797&lt;&gt;"Vendita","",J797-N(G797)-IF(Q797&lt;=0,0,R797*MIN(1,N(D797)/Q797)))</f>
        <v/>
      </c>
      <c r="V797" t="str">
        <f>IF(B797&lt;&gt;"Dividendo","",IF(Calcoli!$B$251=1,J797,L797))</f>
        <v/>
      </c>
      <c r="W797" t="str">
        <f>IF(AND(V797&lt;&gt;"",ISNUMBER(A797)),A797,"")</f>
        <v/>
      </c>
    </row>
    <row r="798">
      <c r="A798" s="134" t="n"/>
      <c r="B798" s="116" t="n"/>
      <c r="C798" s="116" t="n"/>
      <c r="D798" s="121" t="n"/>
      <c r="E798" s="120" t="n"/>
      <c r="F798" s="120" t="n"/>
      <c r="G798" s="120" t="n"/>
      <c r="H798" s="120" t="n"/>
      <c r="I798" s="117" t="n"/>
      <c r="J798" s="123" t="str">
        <f>IF(B798="","",IF(F798&lt;&gt;"",N(F798),ROUND(N(D798)*N(E798),2)))</f>
        <v/>
      </c>
      <c r="K798" s="123" t="str">
        <f>IF(B798="","",IF(H798&lt;&gt;"",N(H798),IF(B798="Dividendo",ROUND(J798*IFERROR(INDEX(Calcoli!$V$7:$V$21,MATCH(C798,Calcoli!$A$7:$A$21,0)),0.26),2),IF(B798="Vendita",ROUND(MAX(0,U798)*IFERROR(INDEX(Calcoli!$V$7:$V$21,MATCH(C798,Calcoli!$A$7:$A$21,0)),0.26),2),0))))</f>
        <v/>
      </c>
      <c r="L798" s="135" t="str">
        <f>IF(B798="","",IF(B798="Acquisto",-(J798+N(G798)),J798-N(G798)-K798))</f>
        <v/>
      </c>
      <c r="M798" s="127" t="str">
        <f>IF(B798="","",IF(ISNA(MATCH(C798,ETF!$A$7:$A$21,0)),"ETF?",IF(NOT(ISNUMBER(A798)),"Data?",IF(AND(B798&lt;&gt;"Dividendo",N(D798)&lt;=0),"Quote?",IF(AND(B798="Vendita",N(D798)&gt;N(Q798)+0.000001),"Quote?",IF(J798&lt;=0,"Importo?","✓"))))))</f>
        <v/>
      </c>
      <c r="N798" t="str">
        <f>IF(OR(B798="Acquisto",B798="Vendita"),COUNTIFS($C$5:C798,C798,$B$5:B798,"Acquisto")+COUNTIFS($C$5:C798,C798,$B$5:B798,"Vendita"),"")</f>
        <v/>
      </c>
      <c r="O798" t="str">
        <f>IF(N798="","",C798&amp;"|"&amp;N798)</f>
        <v/>
      </c>
      <c r="P798" t="str">
        <f>IF(N798="","",IF(N798=1,0,MATCH(C798&amp;"|"&amp;(N798-1),$O$5:$O$1004,0)))</f>
        <v/>
      </c>
      <c r="Q798" t="str">
        <f>IF(N798="","",IF(P798=0,SUMIFS(Calcoli!$C$7:$C$21,Calcoli!$A$7:$A$21,C798),INDEX($S$5:$S$1004,P798)))</f>
        <v/>
      </c>
      <c r="R798" t="str">
        <f>IF(N798="","",IF(P798=0,SUMIFS(Calcoli!$D$7:$D$21,Calcoli!$A$7:$A$21,C798),INDEX($T$5:$T$1004,P798)))</f>
        <v/>
      </c>
      <c r="S798" t="str">
        <f>IF(N798="","",IF(B798="Acquisto",Q798+N(D798),MAX(0,Q798-N(D798))))</f>
        <v/>
      </c>
      <c r="T798" t="str">
        <f>IF(N798="","",IF(B798="Acquisto",R798+J798+N(G798),IF(Q798&lt;=0,0,R798*(1-MIN(1,N(D798)/Q798)))))</f>
        <v/>
      </c>
      <c r="U798" t="str">
        <f>IF(B798&lt;&gt;"Vendita","",J798-N(G798)-IF(Q798&lt;=0,0,R798*MIN(1,N(D798)/Q798)))</f>
        <v/>
      </c>
      <c r="V798" t="str">
        <f>IF(B798&lt;&gt;"Dividendo","",IF(Calcoli!$B$251=1,J798,L798))</f>
        <v/>
      </c>
      <c r="W798" t="str">
        <f>IF(AND(V798&lt;&gt;"",ISNUMBER(A798)),A798,"")</f>
        <v/>
      </c>
    </row>
    <row r="799">
      <c r="A799" s="134" t="n"/>
      <c r="B799" s="116" t="n"/>
      <c r="C799" s="116" t="n"/>
      <c r="D799" s="121" t="n"/>
      <c r="E799" s="120" t="n"/>
      <c r="F799" s="120" t="n"/>
      <c r="G799" s="120" t="n"/>
      <c r="H799" s="120" t="n"/>
      <c r="I799" s="117" t="n"/>
      <c r="J799" s="123" t="str">
        <f>IF(B799="","",IF(F799&lt;&gt;"",N(F799),ROUND(N(D799)*N(E799),2)))</f>
        <v/>
      </c>
      <c r="K799" s="123" t="str">
        <f>IF(B799="","",IF(H799&lt;&gt;"",N(H799),IF(B799="Dividendo",ROUND(J799*IFERROR(INDEX(Calcoli!$V$7:$V$21,MATCH(C799,Calcoli!$A$7:$A$21,0)),0.26),2),IF(B799="Vendita",ROUND(MAX(0,U799)*IFERROR(INDEX(Calcoli!$V$7:$V$21,MATCH(C799,Calcoli!$A$7:$A$21,0)),0.26),2),0))))</f>
        <v/>
      </c>
      <c r="L799" s="135" t="str">
        <f>IF(B799="","",IF(B799="Acquisto",-(J799+N(G799)),J799-N(G799)-K799))</f>
        <v/>
      </c>
      <c r="M799" s="127" t="str">
        <f>IF(B799="","",IF(ISNA(MATCH(C799,ETF!$A$7:$A$21,0)),"ETF?",IF(NOT(ISNUMBER(A799)),"Data?",IF(AND(B799&lt;&gt;"Dividendo",N(D799)&lt;=0),"Quote?",IF(AND(B799="Vendita",N(D799)&gt;N(Q799)+0.000001),"Quote?",IF(J799&lt;=0,"Importo?","✓"))))))</f>
        <v/>
      </c>
      <c r="N799" t="str">
        <f>IF(OR(B799="Acquisto",B799="Vendita"),COUNTIFS($C$5:C799,C799,$B$5:B799,"Acquisto")+COUNTIFS($C$5:C799,C799,$B$5:B799,"Vendita"),"")</f>
        <v/>
      </c>
      <c r="O799" t="str">
        <f>IF(N799="","",C799&amp;"|"&amp;N799)</f>
        <v/>
      </c>
      <c r="P799" t="str">
        <f>IF(N799="","",IF(N799=1,0,MATCH(C799&amp;"|"&amp;(N799-1),$O$5:$O$1004,0)))</f>
        <v/>
      </c>
      <c r="Q799" t="str">
        <f>IF(N799="","",IF(P799=0,SUMIFS(Calcoli!$C$7:$C$21,Calcoli!$A$7:$A$21,C799),INDEX($S$5:$S$1004,P799)))</f>
        <v/>
      </c>
      <c r="R799" t="str">
        <f>IF(N799="","",IF(P799=0,SUMIFS(Calcoli!$D$7:$D$21,Calcoli!$A$7:$A$21,C799),INDEX($T$5:$T$1004,P799)))</f>
        <v/>
      </c>
      <c r="S799" t="str">
        <f>IF(N799="","",IF(B799="Acquisto",Q799+N(D799),MAX(0,Q799-N(D799))))</f>
        <v/>
      </c>
      <c r="T799" t="str">
        <f>IF(N799="","",IF(B799="Acquisto",R799+J799+N(G799),IF(Q799&lt;=0,0,R799*(1-MIN(1,N(D799)/Q799)))))</f>
        <v/>
      </c>
      <c r="U799" t="str">
        <f>IF(B799&lt;&gt;"Vendita","",J799-N(G799)-IF(Q799&lt;=0,0,R799*MIN(1,N(D799)/Q799)))</f>
        <v/>
      </c>
      <c r="V799" t="str">
        <f>IF(B799&lt;&gt;"Dividendo","",IF(Calcoli!$B$251=1,J799,L799))</f>
        <v/>
      </c>
      <c r="W799" t="str">
        <f>IF(AND(V799&lt;&gt;"",ISNUMBER(A799)),A799,"")</f>
        <v/>
      </c>
    </row>
    <row r="800">
      <c r="A800" s="134" t="n"/>
      <c r="B800" s="116" t="n"/>
      <c r="C800" s="116" t="n"/>
      <c r="D800" s="121" t="n"/>
      <c r="E800" s="120" t="n"/>
      <c r="F800" s="120" t="n"/>
      <c r="G800" s="120" t="n"/>
      <c r="H800" s="120" t="n"/>
      <c r="I800" s="117" t="n"/>
      <c r="J800" s="123" t="str">
        <f>IF(B800="","",IF(F800&lt;&gt;"",N(F800),ROUND(N(D800)*N(E800),2)))</f>
        <v/>
      </c>
      <c r="K800" s="123" t="str">
        <f>IF(B800="","",IF(H800&lt;&gt;"",N(H800),IF(B800="Dividendo",ROUND(J800*IFERROR(INDEX(Calcoli!$V$7:$V$21,MATCH(C800,Calcoli!$A$7:$A$21,0)),0.26),2),IF(B800="Vendita",ROUND(MAX(0,U800)*IFERROR(INDEX(Calcoli!$V$7:$V$21,MATCH(C800,Calcoli!$A$7:$A$21,0)),0.26),2),0))))</f>
        <v/>
      </c>
      <c r="L800" s="135" t="str">
        <f>IF(B800="","",IF(B800="Acquisto",-(J800+N(G800)),J800-N(G800)-K800))</f>
        <v/>
      </c>
      <c r="M800" s="127" t="str">
        <f>IF(B800="","",IF(ISNA(MATCH(C800,ETF!$A$7:$A$21,0)),"ETF?",IF(NOT(ISNUMBER(A800)),"Data?",IF(AND(B800&lt;&gt;"Dividendo",N(D800)&lt;=0),"Quote?",IF(AND(B800="Vendita",N(D800)&gt;N(Q800)+0.000001),"Quote?",IF(J800&lt;=0,"Importo?","✓"))))))</f>
        <v/>
      </c>
      <c r="N800" t="str">
        <f>IF(OR(B800="Acquisto",B800="Vendita"),COUNTIFS($C$5:C800,C800,$B$5:B800,"Acquisto")+COUNTIFS($C$5:C800,C800,$B$5:B800,"Vendita"),"")</f>
        <v/>
      </c>
      <c r="O800" t="str">
        <f>IF(N800="","",C800&amp;"|"&amp;N800)</f>
        <v/>
      </c>
      <c r="P800" t="str">
        <f>IF(N800="","",IF(N800=1,0,MATCH(C800&amp;"|"&amp;(N800-1),$O$5:$O$1004,0)))</f>
        <v/>
      </c>
      <c r="Q800" t="str">
        <f>IF(N800="","",IF(P800=0,SUMIFS(Calcoli!$C$7:$C$21,Calcoli!$A$7:$A$21,C800),INDEX($S$5:$S$1004,P800)))</f>
        <v/>
      </c>
      <c r="R800" t="str">
        <f>IF(N800="","",IF(P800=0,SUMIFS(Calcoli!$D$7:$D$21,Calcoli!$A$7:$A$21,C800),INDEX($T$5:$T$1004,P800)))</f>
        <v/>
      </c>
      <c r="S800" t="str">
        <f>IF(N800="","",IF(B800="Acquisto",Q800+N(D800),MAX(0,Q800-N(D800))))</f>
        <v/>
      </c>
      <c r="T800" t="str">
        <f>IF(N800="","",IF(B800="Acquisto",R800+J800+N(G800),IF(Q800&lt;=0,0,R800*(1-MIN(1,N(D800)/Q800)))))</f>
        <v/>
      </c>
      <c r="U800" t="str">
        <f>IF(B800&lt;&gt;"Vendita","",J800-N(G800)-IF(Q800&lt;=0,0,R800*MIN(1,N(D800)/Q800)))</f>
        <v/>
      </c>
      <c r="V800" t="str">
        <f>IF(B800&lt;&gt;"Dividendo","",IF(Calcoli!$B$251=1,J800,L800))</f>
        <v/>
      </c>
      <c r="W800" t="str">
        <f>IF(AND(V800&lt;&gt;"",ISNUMBER(A800)),A800,"")</f>
        <v/>
      </c>
    </row>
    <row r="801">
      <c r="A801" s="134" t="n"/>
      <c r="B801" s="116" t="n"/>
      <c r="C801" s="116" t="n"/>
      <c r="D801" s="121" t="n"/>
      <c r="E801" s="120" t="n"/>
      <c r="F801" s="120" t="n"/>
      <c r="G801" s="120" t="n"/>
      <c r="H801" s="120" t="n"/>
      <c r="I801" s="117" t="n"/>
      <c r="J801" s="123" t="str">
        <f>IF(B801="","",IF(F801&lt;&gt;"",N(F801),ROUND(N(D801)*N(E801),2)))</f>
        <v/>
      </c>
      <c r="K801" s="123" t="str">
        <f>IF(B801="","",IF(H801&lt;&gt;"",N(H801),IF(B801="Dividendo",ROUND(J801*IFERROR(INDEX(Calcoli!$V$7:$V$21,MATCH(C801,Calcoli!$A$7:$A$21,0)),0.26),2),IF(B801="Vendita",ROUND(MAX(0,U801)*IFERROR(INDEX(Calcoli!$V$7:$V$21,MATCH(C801,Calcoli!$A$7:$A$21,0)),0.26),2),0))))</f>
        <v/>
      </c>
      <c r="L801" s="135" t="str">
        <f>IF(B801="","",IF(B801="Acquisto",-(J801+N(G801)),J801-N(G801)-K801))</f>
        <v/>
      </c>
      <c r="M801" s="127" t="str">
        <f>IF(B801="","",IF(ISNA(MATCH(C801,ETF!$A$7:$A$21,0)),"ETF?",IF(NOT(ISNUMBER(A801)),"Data?",IF(AND(B801&lt;&gt;"Dividendo",N(D801)&lt;=0),"Quote?",IF(AND(B801="Vendita",N(D801)&gt;N(Q801)+0.000001),"Quote?",IF(J801&lt;=0,"Importo?","✓"))))))</f>
        <v/>
      </c>
      <c r="N801" t="str">
        <f>IF(OR(B801="Acquisto",B801="Vendita"),COUNTIFS($C$5:C801,C801,$B$5:B801,"Acquisto")+COUNTIFS($C$5:C801,C801,$B$5:B801,"Vendita"),"")</f>
        <v/>
      </c>
      <c r="O801" t="str">
        <f>IF(N801="","",C801&amp;"|"&amp;N801)</f>
        <v/>
      </c>
      <c r="P801" t="str">
        <f>IF(N801="","",IF(N801=1,0,MATCH(C801&amp;"|"&amp;(N801-1),$O$5:$O$1004,0)))</f>
        <v/>
      </c>
      <c r="Q801" t="str">
        <f>IF(N801="","",IF(P801=0,SUMIFS(Calcoli!$C$7:$C$21,Calcoli!$A$7:$A$21,C801),INDEX($S$5:$S$1004,P801)))</f>
        <v/>
      </c>
      <c r="R801" t="str">
        <f>IF(N801="","",IF(P801=0,SUMIFS(Calcoli!$D$7:$D$21,Calcoli!$A$7:$A$21,C801),INDEX($T$5:$T$1004,P801)))</f>
        <v/>
      </c>
      <c r="S801" t="str">
        <f>IF(N801="","",IF(B801="Acquisto",Q801+N(D801),MAX(0,Q801-N(D801))))</f>
        <v/>
      </c>
      <c r="T801" t="str">
        <f>IF(N801="","",IF(B801="Acquisto",R801+J801+N(G801),IF(Q801&lt;=0,0,R801*(1-MIN(1,N(D801)/Q801)))))</f>
        <v/>
      </c>
      <c r="U801" t="str">
        <f>IF(B801&lt;&gt;"Vendita","",J801-N(G801)-IF(Q801&lt;=0,0,R801*MIN(1,N(D801)/Q801)))</f>
        <v/>
      </c>
      <c r="V801" t="str">
        <f>IF(B801&lt;&gt;"Dividendo","",IF(Calcoli!$B$251=1,J801,L801))</f>
        <v/>
      </c>
      <c r="W801" t="str">
        <f>IF(AND(V801&lt;&gt;"",ISNUMBER(A801)),A801,"")</f>
        <v/>
      </c>
    </row>
    <row r="802">
      <c r="A802" s="134" t="n"/>
      <c r="B802" s="116" t="n"/>
      <c r="C802" s="116" t="n"/>
      <c r="D802" s="121" t="n"/>
      <c r="E802" s="120" t="n"/>
      <c r="F802" s="120" t="n"/>
      <c r="G802" s="120" t="n"/>
      <c r="H802" s="120" t="n"/>
      <c r="I802" s="117" t="n"/>
      <c r="J802" s="123" t="str">
        <f>IF(B802="","",IF(F802&lt;&gt;"",N(F802),ROUND(N(D802)*N(E802),2)))</f>
        <v/>
      </c>
      <c r="K802" s="123" t="str">
        <f>IF(B802="","",IF(H802&lt;&gt;"",N(H802),IF(B802="Dividendo",ROUND(J802*IFERROR(INDEX(Calcoli!$V$7:$V$21,MATCH(C802,Calcoli!$A$7:$A$21,0)),0.26),2),IF(B802="Vendita",ROUND(MAX(0,U802)*IFERROR(INDEX(Calcoli!$V$7:$V$21,MATCH(C802,Calcoli!$A$7:$A$21,0)),0.26),2),0))))</f>
        <v/>
      </c>
      <c r="L802" s="135" t="str">
        <f>IF(B802="","",IF(B802="Acquisto",-(J802+N(G802)),J802-N(G802)-K802))</f>
        <v/>
      </c>
      <c r="M802" s="127" t="str">
        <f>IF(B802="","",IF(ISNA(MATCH(C802,ETF!$A$7:$A$21,0)),"ETF?",IF(NOT(ISNUMBER(A802)),"Data?",IF(AND(B802&lt;&gt;"Dividendo",N(D802)&lt;=0),"Quote?",IF(AND(B802="Vendita",N(D802)&gt;N(Q802)+0.000001),"Quote?",IF(J802&lt;=0,"Importo?","✓"))))))</f>
        <v/>
      </c>
      <c r="N802" t="str">
        <f>IF(OR(B802="Acquisto",B802="Vendita"),COUNTIFS($C$5:C802,C802,$B$5:B802,"Acquisto")+COUNTIFS($C$5:C802,C802,$B$5:B802,"Vendita"),"")</f>
        <v/>
      </c>
      <c r="O802" t="str">
        <f>IF(N802="","",C802&amp;"|"&amp;N802)</f>
        <v/>
      </c>
      <c r="P802" t="str">
        <f>IF(N802="","",IF(N802=1,0,MATCH(C802&amp;"|"&amp;(N802-1),$O$5:$O$1004,0)))</f>
        <v/>
      </c>
      <c r="Q802" t="str">
        <f>IF(N802="","",IF(P802=0,SUMIFS(Calcoli!$C$7:$C$21,Calcoli!$A$7:$A$21,C802),INDEX($S$5:$S$1004,P802)))</f>
        <v/>
      </c>
      <c r="R802" t="str">
        <f>IF(N802="","",IF(P802=0,SUMIFS(Calcoli!$D$7:$D$21,Calcoli!$A$7:$A$21,C802),INDEX($T$5:$T$1004,P802)))</f>
        <v/>
      </c>
      <c r="S802" t="str">
        <f>IF(N802="","",IF(B802="Acquisto",Q802+N(D802),MAX(0,Q802-N(D802))))</f>
        <v/>
      </c>
      <c r="T802" t="str">
        <f>IF(N802="","",IF(B802="Acquisto",R802+J802+N(G802),IF(Q802&lt;=0,0,R802*(1-MIN(1,N(D802)/Q802)))))</f>
        <v/>
      </c>
      <c r="U802" t="str">
        <f>IF(B802&lt;&gt;"Vendita","",J802-N(G802)-IF(Q802&lt;=0,0,R802*MIN(1,N(D802)/Q802)))</f>
        <v/>
      </c>
      <c r="V802" t="str">
        <f>IF(B802&lt;&gt;"Dividendo","",IF(Calcoli!$B$251=1,J802,L802))</f>
        <v/>
      </c>
      <c r="W802" t="str">
        <f>IF(AND(V802&lt;&gt;"",ISNUMBER(A802)),A802,"")</f>
        <v/>
      </c>
    </row>
    <row r="803">
      <c r="A803" s="134" t="n"/>
      <c r="B803" s="116" t="n"/>
      <c r="C803" s="116" t="n"/>
      <c r="D803" s="121" t="n"/>
      <c r="E803" s="120" t="n"/>
      <c r="F803" s="120" t="n"/>
      <c r="G803" s="120" t="n"/>
      <c r="H803" s="120" t="n"/>
      <c r="I803" s="117" t="n"/>
      <c r="J803" s="123" t="str">
        <f>IF(B803="","",IF(F803&lt;&gt;"",N(F803),ROUND(N(D803)*N(E803),2)))</f>
        <v/>
      </c>
      <c r="K803" s="123" t="str">
        <f>IF(B803="","",IF(H803&lt;&gt;"",N(H803),IF(B803="Dividendo",ROUND(J803*IFERROR(INDEX(Calcoli!$V$7:$V$21,MATCH(C803,Calcoli!$A$7:$A$21,0)),0.26),2),IF(B803="Vendita",ROUND(MAX(0,U803)*IFERROR(INDEX(Calcoli!$V$7:$V$21,MATCH(C803,Calcoli!$A$7:$A$21,0)),0.26),2),0))))</f>
        <v/>
      </c>
      <c r="L803" s="135" t="str">
        <f>IF(B803="","",IF(B803="Acquisto",-(J803+N(G803)),J803-N(G803)-K803))</f>
        <v/>
      </c>
      <c r="M803" s="127" t="str">
        <f>IF(B803="","",IF(ISNA(MATCH(C803,ETF!$A$7:$A$21,0)),"ETF?",IF(NOT(ISNUMBER(A803)),"Data?",IF(AND(B803&lt;&gt;"Dividendo",N(D803)&lt;=0),"Quote?",IF(AND(B803="Vendita",N(D803)&gt;N(Q803)+0.000001),"Quote?",IF(J803&lt;=0,"Importo?","✓"))))))</f>
        <v/>
      </c>
      <c r="N803" t="str">
        <f>IF(OR(B803="Acquisto",B803="Vendita"),COUNTIFS($C$5:C803,C803,$B$5:B803,"Acquisto")+COUNTIFS($C$5:C803,C803,$B$5:B803,"Vendita"),"")</f>
        <v/>
      </c>
      <c r="O803" t="str">
        <f>IF(N803="","",C803&amp;"|"&amp;N803)</f>
        <v/>
      </c>
      <c r="P803" t="str">
        <f>IF(N803="","",IF(N803=1,0,MATCH(C803&amp;"|"&amp;(N803-1),$O$5:$O$1004,0)))</f>
        <v/>
      </c>
      <c r="Q803" t="str">
        <f>IF(N803="","",IF(P803=0,SUMIFS(Calcoli!$C$7:$C$21,Calcoli!$A$7:$A$21,C803),INDEX($S$5:$S$1004,P803)))</f>
        <v/>
      </c>
      <c r="R803" t="str">
        <f>IF(N803="","",IF(P803=0,SUMIFS(Calcoli!$D$7:$D$21,Calcoli!$A$7:$A$21,C803),INDEX($T$5:$T$1004,P803)))</f>
        <v/>
      </c>
      <c r="S803" t="str">
        <f>IF(N803="","",IF(B803="Acquisto",Q803+N(D803),MAX(0,Q803-N(D803))))</f>
        <v/>
      </c>
      <c r="T803" t="str">
        <f>IF(N803="","",IF(B803="Acquisto",R803+J803+N(G803),IF(Q803&lt;=0,0,R803*(1-MIN(1,N(D803)/Q803)))))</f>
        <v/>
      </c>
      <c r="U803" t="str">
        <f>IF(B803&lt;&gt;"Vendita","",J803-N(G803)-IF(Q803&lt;=0,0,R803*MIN(1,N(D803)/Q803)))</f>
        <v/>
      </c>
      <c r="V803" t="str">
        <f>IF(B803&lt;&gt;"Dividendo","",IF(Calcoli!$B$251=1,J803,L803))</f>
        <v/>
      </c>
      <c r="W803" t="str">
        <f>IF(AND(V803&lt;&gt;"",ISNUMBER(A803)),A803,"")</f>
        <v/>
      </c>
    </row>
    <row r="804">
      <c r="A804" s="134" t="n"/>
      <c r="B804" s="116" t="n"/>
      <c r="C804" s="116" t="n"/>
      <c r="D804" s="121" t="n"/>
      <c r="E804" s="120" t="n"/>
      <c r="F804" s="120" t="n"/>
      <c r="G804" s="120" t="n"/>
      <c r="H804" s="120" t="n"/>
      <c r="I804" s="117" t="n"/>
      <c r="J804" s="123" t="str">
        <f>IF(B804="","",IF(F804&lt;&gt;"",N(F804),ROUND(N(D804)*N(E804),2)))</f>
        <v/>
      </c>
      <c r="K804" s="123" t="str">
        <f>IF(B804="","",IF(H804&lt;&gt;"",N(H804),IF(B804="Dividendo",ROUND(J804*IFERROR(INDEX(Calcoli!$V$7:$V$21,MATCH(C804,Calcoli!$A$7:$A$21,0)),0.26),2),IF(B804="Vendita",ROUND(MAX(0,U804)*IFERROR(INDEX(Calcoli!$V$7:$V$21,MATCH(C804,Calcoli!$A$7:$A$21,0)),0.26),2),0))))</f>
        <v/>
      </c>
      <c r="L804" s="135" t="str">
        <f>IF(B804="","",IF(B804="Acquisto",-(J804+N(G804)),J804-N(G804)-K804))</f>
        <v/>
      </c>
      <c r="M804" s="127" t="str">
        <f>IF(B804="","",IF(ISNA(MATCH(C804,ETF!$A$7:$A$21,0)),"ETF?",IF(NOT(ISNUMBER(A804)),"Data?",IF(AND(B804&lt;&gt;"Dividendo",N(D804)&lt;=0),"Quote?",IF(AND(B804="Vendita",N(D804)&gt;N(Q804)+0.000001),"Quote?",IF(J804&lt;=0,"Importo?","✓"))))))</f>
        <v/>
      </c>
      <c r="N804" t="str">
        <f>IF(OR(B804="Acquisto",B804="Vendita"),COUNTIFS($C$5:C804,C804,$B$5:B804,"Acquisto")+COUNTIFS($C$5:C804,C804,$B$5:B804,"Vendita"),"")</f>
        <v/>
      </c>
      <c r="O804" t="str">
        <f>IF(N804="","",C804&amp;"|"&amp;N804)</f>
        <v/>
      </c>
      <c r="P804" t="str">
        <f>IF(N804="","",IF(N804=1,0,MATCH(C804&amp;"|"&amp;(N804-1),$O$5:$O$1004,0)))</f>
        <v/>
      </c>
      <c r="Q804" t="str">
        <f>IF(N804="","",IF(P804=0,SUMIFS(Calcoli!$C$7:$C$21,Calcoli!$A$7:$A$21,C804),INDEX($S$5:$S$1004,P804)))</f>
        <v/>
      </c>
      <c r="R804" t="str">
        <f>IF(N804="","",IF(P804=0,SUMIFS(Calcoli!$D$7:$D$21,Calcoli!$A$7:$A$21,C804),INDEX($T$5:$T$1004,P804)))</f>
        <v/>
      </c>
      <c r="S804" t="str">
        <f>IF(N804="","",IF(B804="Acquisto",Q804+N(D804),MAX(0,Q804-N(D804))))</f>
        <v/>
      </c>
      <c r="T804" t="str">
        <f>IF(N804="","",IF(B804="Acquisto",R804+J804+N(G804),IF(Q804&lt;=0,0,R804*(1-MIN(1,N(D804)/Q804)))))</f>
        <v/>
      </c>
      <c r="U804" t="str">
        <f>IF(B804&lt;&gt;"Vendita","",J804-N(G804)-IF(Q804&lt;=0,0,R804*MIN(1,N(D804)/Q804)))</f>
        <v/>
      </c>
      <c r="V804" t="str">
        <f>IF(B804&lt;&gt;"Dividendo","",IF(Calcoli!$B$251=1,J804,L804))</f>
        <v/>
      </c>
      <c r="W804" t="str">
        <f>IF(AND(V804&lt;&gt;"",ISNUMBER(A804)),A804,"")</f>
        <v/>
      </c>
    </row>
    <row r="805">
      <c r="A805" s="134" t="n"/>
      <c r="B805" s="116" t="n"/>
      <c r="C805" s="116" t="n"/>
      <c r="D805" s="121" t="n"/>
      <c r="E805" s="120" t="n"/>
      <c r="F805" s="120" t="n"/>
      <c r="G805" s="120" t="n"/>
      <c r="H805" s="120" t="n"/>
      <c r="I805" s="117" t="n"/>
      <c r="J805" s="123" t="str">
        <f>IF(B805="","",IF(F805&lt;&gt;"",N(F805),ROUND(N(D805)*N(E805),2)))</f>
        <v/>
      </c>
      <c r="K805" s="123" t="str">
        <f>IF(B805="","",IF(H805&lt;&gt;"",N(H805),IF(B805="Dividendo",ROUND(J805*IFERROR(INDEX(Calcoli!$V$7:$V$21,MATCH(C805,Calcoli!$A$7:$A$21,0)),0.26),2),IF(B805="Vendita",ROUND(MAX(0,U805)*IFERROR(INDEX(Calcoli!$V$7:$V$21,MATCH(C805,Calcoli!$A$7:$A$21,0)),0.26),2),0))))</f>
        <v/>
      </c>
      <c r="L805" s="135" t="str">
        <f>IF(B805="","",IF(B805="Acquisto",-(J805+N(G805)),J805-N(G805)-K805))</f>
        <v/>
      </c>
      <c r="M805" s="127" t="str">
        <f>IF(B805="","",IF(ISNA(MATCH(C805,ETF!$A$7:$A$21,0)),"ETF?",IF(NOT(ISNUMBER(A805)),"Data?",IF(AND(B805&lt;&gt;"Dividendo",N(D805)&lt;=0),"Quote?",IF(AND(B805="Vendita",N(D805)&gt;N(Q805)+0.000001),"Quote?",IF(J805&lt;=0,"Importo?","✓"))))))</f>
        <v/>
      </c>
      <c r="N805" t="str">
        <f>IF(OR(B805="Acquisto",B805="Vendita"),COUNTIFS($C$5:C805,C805,$B$5:B805,"Acquisto")+COUNTIFS($C$5:C805,C805,$B$5:B805,"Vendita"),"")</f>
        <v/>
      </c>
      <c r="O805" t="str">
        <f>IF(N805="","",C805&amp;"|"&amp;N805)</f>
        <v/>
      </c>
      <c r="P805" t="str">
        <f>IF(N805="","",IF(N805=1,0,MATCH(C805&amp;"|"&amp;(N805-1),$O$5:$O$1004,0)))</f>
        <v/>
      </c>
      <c r="Q805" t="str">
        <f>IF(N805="","",IF(P805=0,SUMIFS(Calcoli!$C$7:$C$21,Calcoli!$A$7:$A$21,C805),INDEX($S$5:$S$1004,P805)))</f>
        <v/>
      </c>
      <c r="R805" t="str">
        <f>IF(N805="","",IF(P805=0,SUMIFS(Calcoli!$D$7:$D$21,Calcoli!$A$7:$A$21,C805),INDEX($T$5:$T$1004,P805)))</f>
        <v/>
      </c>
      <c r="S805" t="str">
        <f>IF(N805="","",IF(B805="Acquisto",Q805+N(D805),MAX(0,Q805-N(D805))))</f>
        <v/>
      </c>
      <c r="T805" t="str">
        <f>IF(N805="","",IF(B805="Acquisto",R805+J805+N(G805),IF(Q805&lt;=0,0,R805*(1-MIN(1,N(D805)/Q805)))))</f>
        <v/>
      </c>
      <c r="U805" t="str">
        <f>IF(B805&lt;&gt;"Vendita","",J805-N(G805)-IF(Q805&lt;=0,0,R805*MIN(1,N(D805)/Q805)))</f>
        <v/>
      </c>
      <c r="V805" t="str">
        <f>IF(B805&lt;&gt;"Dividendo","",IF(Calcoli!$B$251=1,J805,L805))</f>
        <v/>
      </c>
      <c r="W805" t="str">
        <f>IF(AND(V805&lt;&gt;"",ISNUMBER(A805)),A805,"")</f>
        <v/>
      </c>
    </row>
    <row r="806">
      <c r="A806" s="134" t="n"/>
      <c r="B806" s="116" t="n"/>
      <c r="C806" s="116" t="n"/>
      <c r="D806" s="121" t="n"/>
      <c r="E806" s="120" t="n"/>
      <c r="F806" s="120" t="n"/>
      <c r="G806" s="120" t="n"/>
      <c r="H806" s="120" t="n"/>
      <c r="I806" s="117" t="n"/>
      <c r="J806" s="123" t="str">
        <f>IF(B806="","",IF(F806&lt;&gt;"",N(F806),ROUND(N(D806)*N(E806),2)))</f>
        <v/>
      </c>
      <c r="K806" s="123" t="str">
        <f>IF(B806="","",IF(H806&lt;&gt;"",N(H806),IF(B806="Dividendo",ROUND(J806*IFERROR(INDEX(Calcoli!$V$7:$V$21,MATCH(C806,Calcoli!$A$7:$A$21,0)),0.26),2),IF(B806="Vendita",ROUND(MAX(0,U806)*IFERROR(INDEX(Calcoli!$V$7:$V$21,MATCH(C806,Calcoli!$A$7:$A$21,0)),0.26),2),0))))</f>
        <v/>
      </c>
      <c r="L806" s="135" t="str">
        <f>IF(B806="","",IF(B806="Acquisto",-(J806+N(G806)),J806-N(G806)-K806))</f>
        <v/>
      </c>
      <c r="M806" s="127" t="str">
        <f>IF(B806="","",IF(ISNA(MATCH(C806,ETF!$A$7:$A$21,0)),"ETF?",IF(NOT(ISNUMBER(A806)),"Data?",IF(AND(B806&lt;&gt;"Dividendo",N(D806)&lt;=0),"Quote?",IF(AND(B806="Vendita",N(D806)&gt;N(Q806)+0.000001),"Quote?",IF(J806&lt;=0,"Importo?","✓"))))))</f>
        <v/>
      </c>
      <c r="N806" t="str">
        <f>IF(OR(B806="Acquisto",B806="Vendita"),COUNTIFS($C$5:C806,C806,$B$5:B806,"Acquisto")+COUNTIFS($C$5:C806,C806,$B$5:B806,"Vendita"),"")</f>
        <v/>
      </c>
      <c r="O806" t="str">
        <f>IF(N806="","",C806&amp;"|"&amp;N806)</f>
        <v/>
      </c>
      <c r="P806" t="str">
        <f>IF(N806="","",IF(N806=1,0,MATCH(C806&amp;"|"&amp;(N806-1),$O$5:$O$1004,0)))</f>
        <v/>
      </c>
      <c r="Q806" t="str">
        <f>IF(N806="","",IF(P806=0,SUMIFS(Calcoli!$C$7:$C$21,Calcoli!$A$7:$A$21,C806),INDEX($S$5:$S$1004,P806)))</f>
        <v/>
      </c>
      <c r="R806" t="str">
        <f>IF(N806="","",IF(P806=0,SUMIFS(Calcoli!$D$7:$D$21,Calcoli!$A$7:$A$21,C806),INDEX($T$5:$T$1004,P806)))</f>
        <v/>
      </c>
      <c r="S806" t="str">
        <f>IF(N806="","",IF(B806="Acquisto",Q806+N(D806),MAX(0,Q806-N(D806))))</f>
        <v/>
      </c>
      <c r="T806" t="str">
        <f>IF(N806="","",IF(B806="Acquisto",R806+J806+N(G806),IF(Q806&lt;=0,0,R806*(1-MIN(1,N(D806)/Q806)))))</f>
        <v/>
      </c>
      <c r="U806" t="str">
        <f>IF(B806&lt;&gt;"Vendita","",J806-N(G806)-IF(Q806&lt;=0,0,R806*MIN(1,N(D806)/Q806)))</f>
        <v/>
      </c>
      <c r="V806" t="str">
        <f>IF(B806&lt;&gt;"Dividendo","",IF(Calcoli!$B$251=1,J806,L806))</f>
        <v/>
      </c>
      <c r="W806" t="str">
        <f>IF(AND(V806&lt;&gt;"",ISNUMBER(A806)),A806,"")</f>
        <v/>
      </c>
    </row>
    <row r="807">
      <c r="A807" s="134" t="n"/>
      <c r="B807" s="116" t="n"/>
      <c r="C807" s="116" t="n"/>
      <c r="D807" s="121" t="n"/>
      <c r="E807" s="120" t="n"/>
      <c r="F807" s="120" t="n"/>
      <c r="G807" s="120" t="n"/>
      <c r="H807" s="120" t="n"/>
      <c r="I807" s="117" t="n"/>
      <c r="J807" s="123" t="str">
        <f>IF(B807="","",IF(F807&lt;&gt;"",N(F807),ROUND(N(D807)*N(E807),2)))</f>
        <v/>
      </c>
      <c r="K807" s="123" t="str">
        <f>IF(B807="","",IF(H807&lt;&gt;"",N(H807),IF(B807="Dividendo",ROUND(J807*IFERROR(INDEX(Calcoli!$V$7:$V$21,MATCH(C807,Calcoli!$A$7:$A$21,0)),0.26),2),IF(B807="Vendita",ROUND(MAX(0,U807)*IFERROR(INDEX(Calcoli!$V$7:$V$21,MATCH(C807,Calcoli!$A$7:$A$21,0)),0.26),2),0))))</f>
        <v/>
      </c>
      <c r="L807" s="135" t="str">
        <f>IF(B807="","",IF(B807="Acquisto",-(J807+N(G807)),J807-N(G807)-K807))</f>
        <v/>
      </c>
      <c r="M807" s="127" t="str">
        <f>IF(B807="","",IF(ISNA(MATCH(C807,ETF!$A$7:$A$21,0)),"ETF?",IF(NOT(ISNUMBER(A807)),"Data?",IF(AND(B807&lt;&gt;"Dividendo",N(D807)&lt;=0),"Quote?",IF(AND(B807="Vendita",N(D807)&gt;N(Q807)+0.000001),"Quote?",IF(J807&lt;=0,"Importo?","✓"))))))</f>
        <v/>
      </c>
      <c r="N807" t="str">
        <f>IF(OR(B807="Acquisto",B807="Vendita"),COUNTIFS($C$5:C807,C807,$B$5:B807,"Acquisto")+COUNTIFS($C$5:C807,C807,$B$5:B807,"Vendita"),"")</f>
        <v/>
      </c>
      <c r="O807" t="str">
        <f>IF(N807="","",C807&amp;"|"&amp;N807)</f>
        <v/>
      </c>
      <c r="P807" t="str">
        <f>IF(N807="","",IF(N807=1,0,MATCH(C807&amp;"|"&amp;(N807-1),$O$5:$O$1004,0)))</f>
        <v/>
      </c>
      <c r="Q807" t="str">
        <f>IF(N807="","",IF(P807=0,SUMIFS(Calcoli!$C$7:$C$21,Calcoli!$A$7:$A$21,C807),INDEX($S$5:$S$1004,P807)))</f>
        <v/>
      </c>
      <c r="R807" t="str">
        <f>IF(N807="","",IF(P807=0,SUMIFS(Calcoli!$D$7:$D$21,Calcoli!$A$7:$A$21,C807),INDEX($T$5:$T$1004,P807)))</f>
        <v/>
      </c>
      <c r="S807" t="str">
        <f>IF(N807="","",IF(B807="Acquisto",Q807+N(D807),MAX(0,Q807-N(D807))))</f>
        <v/>
      </c>
      <c r="T807" t="str">
        <f>IF(N807="","",IF(B807="Acquisto",R807+J807+N(G807),IF(Q807&lt;=0,0,R807*(1-MIN(1,N(D807)/Q807)))))</f>
        <v/>
      </c>
      <c r="U807" t="str">
        <f>IF(B807&lt;&gt;"Vendita","",J807-N(G807)-IF(Q807&lt;=0,0,R807*MIN(1,N(D807)/Q807)))</f>
        <v/>
      </c>
      <c r="V807" t="str">
        <f>IF(B807&lt;&gt;"Dividendo","",IF(Calcoli!$B$251=1,J807,L807))</f>
        <v/>
      </c>
      <c r="W807" t="str">
        <f>IF(AND(V807&lt;&gt;"",ISNUMBER(A807)),A807,"")</f>
        <v/>
      </c>
    </row>
    <row r="808">
      <c r="A808" s="134" t="n"/>
      <c r="B808" s="116" t="n"/>
      <c r="C808" s="116" t="n"/>
      <c r="D808" s="121" t="n"/>
      <c r="E808" s="120" t="n"/>
      <c r="F808" s="120" t="n"/>
      <c r="G808" s="120" t="n"/>
      <c r="H808" s="120" t="n"/>
      <c r="I808" s="117" t="n"/>
      <c r="J808" s="123" t="str">
        <f>IF(B808="","",IF(F808&lt;&gt;"",N(F808),ROUND(N(D808)*N(E808),2)))</f>
        <v/>
      </c>
      <c r="K808" s="123" t="str">
        <f>IF(B808="","",IF(H808&lt;&gt;"",N(H808),IF(B808="Dividendo",ROUND(J808*IFERROR(INDEX(Calcoli!$V$7:$V$21,MATCH(C808,Calcoli!$A$7:$A$21,0)),0.26),2),IF(B808="Vendita",ROUND(MAX(0,U808)*IFERROR(INDEX(Calcoli!$V$7:$V$21,MATCH(C808,Calcoli!$A$7:$A$21,0)),0.26),2),0))))</f>
        <v/>
      </c>
      <c r="L808" s="135" t="str">
        <f>IF(B808="","",IF(B808="Acquisto",-(J808+N(G808)),J808-N(G808)-K808))</f>
        <v/>
      </c>
      <c r="M808" s="127" t="str">
        <f>IF(B808="","",IF(ISNA(MATCH(C808,ETF!$A$7:$A$21,0)),"ETF?",IF(NOT(ISNUMBER(A808)),"Data?",IF(AND(B808&lt;&gt;"Dividendo",N(D808)&lt;=0),"Quote?",IF(AND(B808="Vendita",N(D808)&gt;N(Q808)+0.000001),"Quote?",IF(J808&lt;=0,"Importo?","✓"))))))</f>
        <v/>
      </c>
      <c r="N808" t="str">
        <f>IF(OR(B808="Acquisto",B808="Vendita"),COUNTIFS($C$5:C808,C808,$B$5:B808,"Acquisto")+COUNTIFS($C$5:C808,C808,$B$5:B808,"Vendita"),"")</f>
        <v/>
      </c>
      <c r="O808" t="str">
        <f>IF(N808="","",C808&amp;"|"&amp;N808)</f>
        <v/>
      </c>
      <c r="P808" t="str">
        <f>IF(N808="","",IF(N808=1,0,MATCH(C808&amp;"|"&amp;(N808-1),$O$5:$O$1004,0)))</f>
        <v/>
      </c>
      <c r="Q808" t="str">
        <f>IF(N808="","",IF(P808=0,SUMIFS(Calcoli!$C$7:$C$21,Calcoli!$A$7:$A$21,C808),INDEX($S$5:$S$1004,P808)))</f>
        <v/>
      </c>
      <c r="R808" t="str">
        <f>IF(N808="","",IF(P808=0,SUMIFS(Calcoli!$D$7:$D$21,Calcoli!$A$7:$A$21,C808),INDEX($T$5:$T$1004,P808)))</f>
        <v/>
      </c>
      <c r="S808" t="str">
        <f>IF(N808="","",IF(B808="Acquisto",Q808+N(D808),MAX(0,Q808-N(D808))))</f>
        <v/>
      </c>
      <c r="T808" t="str">
        <f>IF(N808="","",IF(B808="Acquisto",R808+J808+N(G808),IF(Q808&lt;=0,0,R808*(1-MIN(1,N(D808)/Q808)))))</f>
        <v/>
      </c>
      <c r="U808" t="str">
        <f>IF(B808&lt;&gt;"Vendita","",J808-N(G808)-IF(Q808&lt;=0,0,R808*MIN(1,N(D808)/Q808)))</f>
        <v/>
      </c>
      <c r="V808" t="str">
        <f>IF(B808&lt;&gt;"Dividendo","",IF(Calcoli!$B$251=1,J808,L808))</f>
        <v/>
      </c>
      <c r="W808" t="str">
        <f>IF(AND(V808&lt;&gt;"",ISNUMBER(A808)),A808,"")</f>
        <v/>
      </c>
    </row>
    <row r="809">
      <c r="A809" s="134" t="n"/>
      <c r="B809" s="116" t="n"/>
      <c r="C809" s="116" t="n"/>
      <c r="D809" s="121" t="n"/>
      <c r="E809" s="120" t="n"/>
      <c r="F809" s="120" t="n"/>
      <c r="G809" s="120" t="n"/>
      <c r="H809" s="120" t="n"/>
      <c r="I809" s="117" t="n"/>
      <c r="J809" s="123" t="str">
        <f>IF(B809="","",IF(F809&lt;&gt;"",N(F809),ROUND(N(D809)*N(E809),2)))</f>
        <v/>
      </c>
      <c r="K809" s="123" t="str">
        <f>IF(B809="","",IF(H809&lt;&gt;"",N(H809),IF(B809="Dividendo",ROUND(J809*IFERROR(INDEX(Calcoli!$V$7:$V$21,MATCH(C809,Calcoli!$A$7:$A$21,0)),0.26),2),IF(B809="Vendita",ROUND(MAX(0,U809)*IFERROR(INDEX(Calcoli!$V$7:$V$21,MATCH(C809,Calcoli!$A$7:$A$21,0)),0.26),2),0))))</f>
        <v/>
      </c>
      <c r="L809" s="135" t="str">
        <f>IF(B809="","",IF(B809="Acquisto",-(J809+N(G809)),J809-N(G809)-K809))</f>
        <v/>
      </c>
      <c r="M809" s="127" t="str">
        <f>IF(B809="","",IF(ISNA(MATCH(C809,ETF!$A$7:$A$21,0)),"ETF?",IF(NOT(ISNUMBER(A809)),"Data?",IF(AND(B809&lt;&gt;"Dividendo",N(D809)&lt;=0),"Quote?",IF(AND(B809="Vendita",N(D809)&gt;N(Q809)+0.000001),"Quote?",IF(J809&lt;=0,"Importo?","✓"))))))</f>
        <v/>
      </c>
      <c r="N809" t="str">
        <f>IF(OR(B809="Acquisto",B809="Vendita"),COUNTIFS($C$5:C809,C809,$B$5:B809,"Acquisto")+COUNTIFS($C$5:C809,C809,$B$5:B809,"Vendita"),"")</f>
        <v/>
      </c>
      <c r="O809" t="str">
        <f>IF(N809="","",C809&amp;"|"&amp;N809)</f>
        <v/>
      </c>
      <c r="P809" t="str">
        <f>IF(N809="","",IF(N809=1,0,MATCH(C809&amp;"|"&amp;(N809-1),$O$5:$O$1004,0)))</f>
        <v/>
      </c>
      <c r="Q809" t="str">
        <f>IF(N809="","",IF(P809=0,SUMIFS(Calcoli!$C$7:$C$21,Calcoli!$A$7:$A$21,C809),INDEX($S$5:$S$1004,P809)))</f>
        <v/>
      </c>
      <c r="R809" t="str">
        <f>IF(N809="","",IF(P809=0,SUMIFS(Calcoli!$D$7:$D$21,Calcoli!$A$7:$A$21,C809),INDEX($T$5:$T$1004,P809)))</f>
        <v/>
      </c>
      <c r="S809" t="str">
        <f>IF(N809="","",IF(B809="Acquisto",Q809+N(D809),MAX(0,Q809-N(D809))))</f>
        <v/>
      </c>
      <c r="T809" t="str">
        <f>IF(N809="","",IF(B809="Acquisto",R809+J809+N(G809),IF(Q809&lt;=0,0,R809*(1-MIN(1,N(D809)/Q809)))))</f>
        <v/>
      </c>
      <c r="U809" t="str">
        <f>IF(B809&lt;&gt;"Vendita","",J809-N(G809)-IF(Q809&lt;=0,0,R809*MIN(1,N(D809)/Q809)))</f>
        <v/>
      </c>
      <c r="V809" t="str">
        <f>IF(B809&lt;&gt;"Dividendo","",IF(Calcoli!$B$251=1,J809,L809))</f>
        <v/>
      </c>
      <c r="W809" t="str">
        <f>IF(AND(V809&lt;&gt;"",ISNUMBER(A809)),A809,"")</f>
        <v/>
      </c>
    </row>
    <row r="810">
      <c r="A810" s="134" t="n"/>
      <c r="B810" s="116" t="n"/>
      <c r="C810" s="116" t="n"/>
      <c r="D810" s="121" t="n"/>
      <c r="E810" s="120" t="n"/>
      <c r="F810" s="120" t="n"/>
      <c r="G810" s="120" t="n"/>
      <c r="H810" s="120" t="n"/>
      <c r="I810" s="117" t="n"/>
      <c r="J810" s="123" t="str">
        <f>IF(B810="","",IF(F810&lt;&gt;"",N(F810),ROUND(N(D810)*N(E810),2)))</f>
        <v/>
      </c>
      <c r="K810" s="123" t="str">
        <f>IF(B810="","",IF(H810&lt;&gt;"",N(H810),IF(B810="Dividendo",ROUND(J810*IFERROR(INDEX(Calcoli!$V$7:$V$21,MATCH(C810,Calcoli!$A$7:$A$21,0)),0.26),2),IF(B810="Vendita",ROUND(MAX(0,U810)*IFERROR(INDEX(Calcoli!$V$7:$V$21,MATCH(C810,Calcoli!$A$7:$A$21,0)),0.26),2),0))))</f>
        <v/>
      </c>
      <c r="L810" s="135" t="str">
        <f>IF(B810="","",IF(B810="Acquisto",-(J810+N(G810)),J810-N(G810)-K810))</f>
        <v/>
      </c>
      <c r="M810" s="127" t="str">
        <f>IF(B810="","",IF(ISNA(MATCH(C810,ETF!$A$7:$A$21,0)),"ETF?",IF(NOT(ISNUMBER(A810)),"Data?",IF(AND(B810&lt;&gt;"Dividendo",N(D810)&lt;=0),"Quote?",IF(AND(B810="Vendita",N(D810)&gt;N(Q810)+0.000001),"Quote?",IF(J810&lt;=0,"Importo?","✓"))))))</f>
        <v/>
      </c>
      <c r="N810" t="str">
        <f>IF(OR(B810="Acquisto",B810="Vendita"),COUNTIFS($C$5:C810,C810,$B$5:B810,"Acquisto")+COUNTIFS($C$5:C810,C810,$B$5:B810,"Vendita"),"")</f>
        <v/>
      </c>
      <c r="O810" t="str">
        <f>IF(N810="","",C810&amp;"|"&amp;N810)</f>
        <v/>
      </c>
      <c r="P810" t="str">
        <f>IF(N810="","",IF(N810=1,0,MATCH(C810&amp;"|"&amp;(N810-1),$O$5:$O$1004,0)))</f>
        <v/>
      </c>
      <c r="Q810" t="str">
        <f>IF(N810="","",IF(P810=0,SUMIFS(Calcoli!$C$7:$C$21,Calcoli!$A$7:$A$21,C810),INDEX($S$5:$S$1004,P810)))</f>
        <v/>
      </c>
      <c r="R810" t="str">
        <f>IF(N810="","",IF(P810=0,SUMIFS(Calcoli!$D$7:$D$21,Calcoli!$A$7:$A$21,C810),INDEX($T$5:$T$1004,P810)))</f>
        <v/>
      </c>
      <c r="S810" t="str">
        <f>IF(N810="","",IF(B810="Acquisto",Q810+N(D810),MAX(0,Q810-N(D810))))</f>
        <v/>
      </c>
      <c r="T810" t="str">
        <f>IF(N810="","",IF(B810="Acquisto",R810+J810+N(G810),IF(Q810&lt;=0,0,R810*(1-MIN(1,N(D810)/Q810)))))</f>
        <v/>
      </c>
      <c r="U810" t="str">
        <f>IF(B810&lt;&gt;"Vendita","",J810-N(G810)-IF(Q810&lt;=0,0,R810*MIN(1,N(D810)/Q810)))</f>
        <v/>
      </c>
      <c r="V810" t="str">
        <f>IF(B810&lt;&gt;"Dividendo","",IF(Calcoli!$B$251=1,J810,L810))</f>
        <v/>
      </c>
      <c r="W810" t="str">
        <f>IF(AND(V810&lt;&gt;"",ISNUMBER(A810)),A810,"")</f>
        <v/>
      </c>
    </row>
    <row r="811">
      <c r="A811" s="134" t="n"/>
      <c r="B811" s="116" t="n"/>
      <c r="C811" s="116" t="n"/>
      <c r="D811" s="121" t="n"/>
      <c r="E811" s="120" t="n"/>
      <c r="F811" s="120" t="n"/>
      <c r="G811" s="120" t="n"/>
      <c r="H811" s="120" t="n"/>
      <c r="I811" s="117" t="n"/>
      <c r="J811" s="123" t="str">
        <f>IF(B811="","",IF(F811&lt;&gt;"",N(F811),ROUND(N(D811)*N(E811),2)))</f>
        <v/>
      </c>
      <c r="K811" s="123" t="str">
        <f>IF(B811="","",IF(H811&lt;&gt;"",N(H811),IF(B811="Dividendo",ROUND(J811*IFERROR(INDEX(Calcoli!$V$7:$V$21,MATCH(C811,Calcoli!$A$7:$A$21,0)),0.26),2),IF(B811="Vendita",ROUND(MAX(0,U811)*IFERROR(INDEX(Calcoli!$V$7:$V$21,MATCH(C811,Calcoli!$A$7:$A$21,0)),0.26),2),0))))</f>
        <v/>
      </c>
      <c r="L811" s="135" t="str">
        <f>IF(B811="","",IF(B811="Acquisto",-(J811+N(G811)),J811-N(G811)-K811))</f>
        <v/>
      </c>
      <c r="M811" s="127" t="str">
        <f>IF(B811="","",IF(ISNA(MATCH(C811,ETF!$A$7:$A$21,0)),"ETF?",IF(NOT(ISNUMBER(A811)),"Data?",IF(AND(B811&lt;&gt;"Dividendo",N(D811)&lt;=0),"Quote?",IF(AND(B811="Vendita",N(D811)&gt;N(Q811)+0.000001),"Quote?",IF(J811&lt;=0,"Importo?","✓"))))))</f>
        <v/>
      </c>
      <c r="N811" t="str">
        <f>IF(OR(B811="Acquisto",B811="Vendita"),COUNTIFS($C$5:C811,C811,$B$5:B811,"Acquisto")+COUNTIFS($C$5:C811,C811,$B$5:B811,"Vendita"),"")</f>
        <v/>
      </c>
      <c r="O811" t="str">
        <f>IF(N811="","",C811&amp;"|"&amp;N811)</f>
        <v/>
      </c>
      <c r="P811" t="str">
        <f>IF(N811="","",IF(N811=1,0,MATCH(C811&amp;"|"&amp;(N811-1),$O$5:$O$1004,0)))</f>
        <v/>
      </c>
      <c r="Q811" t="str">
        <f>IF(N811="","",IF(P811=0,SUMIFS(Calcoli!$C$7:$C$21,Calcoli!$A$7:$A$21,C811),INDEX($S$5:$S$1004,P811)))</f>
        <v/>
      </c>
      <c r="R811" t="str">
        <f>IF(N811="","",IF(P811=0,SUMIFS(Calcoli!$D$7:$D$21,Calcoli!$A$7:$A$21,C811),INDEX($T$5:$T$1004,P811)))</f>
        <v/>
      </c>
      <c r="S811" t="str">
        <f>IF(N811="","",IF(B811="Acquisto",Q811+N(D811),MAX(0,Q811-N(D811))))</f>
        <v/>
      </c>
      <c r="T811" t="str">
        <f>IF(N811="","",IF(B811="Acquisto",R811+J811+N(G811),IF(Q811&lt;=0,0,R811*(1-MIN(1,N(D811)/Q811)))))</f>
        <v/>
      </c>
      <c r="U811" t="str">
        <f>IF(B811&lt;&gt;"Vendita","",J811-N(G811)-IF(Q811&lt;=0,0,R811*MIN(1,N(D811)/Q811)))</f>
        <v/>
      </c>
      <c r="V811" t="str">
        <f>IF(B811&lt;&gt;"Dividendo","",IF(Calcoli!$B$251=1,J811,L811))</f>
        <v/>
      </c>
      <c r="W811" t="str">
        <f>IF(AND(V811&lt;&gt;"",ISNUMBER(A811)),A811,"")</f>
        <v/>
      </c>
    </row>
    <row r="812">
      <c r="A812" s="134" t="n"/>
      <c r="B812" s="116" t="n"/>
      <c r="C812" s="116" t="n"/>
      <c r="D812" s="121" t="n"/>
      <c r="E812" s="120" t="n"/>
      <c r="F812" s="120" t="n"/>
      <c r="G812" s="120" t="n"/>
      <c r="H812" s="120" t="n"/>
      <c r="I812" s="117" t="n"/>
      <c r="J812" s="123" t="str">
        <f>IF(B812="","",IF(F812&lt;&gt;"",N(F812),ROUND(N(D812)*N(E812),2)))</f>
        <v/>
      </c>
      <c r="K812" s="123" t="str">
        <f>IF(B812="","",IF(H812&lt;&gt;"",N(H812),IF(B812="Dividendo",ROUND(J812*IFERROR(INDEX(Calcoli!$V$7:$V$21,MATCH(C812,Calcoli!$A$7:$A$21,0)),0.26),2),IF(B812="Vendita",ROUND(MAX(0,U812)*IFERROR(INDEX(Calcoli!$V$7:$V$21,MATCH(C812,Calcoli!$A$7:$A$21,0)),0.26),2),0))))</f>
        <v/>
      </c>
      <c r="L812" s="135" t="str">
        <f>IF(B812="","",IF(B812="Acquisto",-(J812+N(G812)),J812-N(G812)-K812))</f>
        <v/>
      </c>
      <c r="M812" s="127" t="str">
        <f>IF(B812="","",IF(ISNA(MATCH(C812,ETF!$A$7:$A$21,0)),"ETF?",IF(NOT(ISNUMBER(A812)),"Data?",IF(AND(B812&lt;&gt;"Dividendo",N(D812)&lt;=0),"Quote?",IF(AND(B812="Vendita",N(D812)&gt;N(Q812)+0.000001),"Quote?",IF(J812&lt;=0,"Importo?","✓"))))))</f>
        <v/>
      </c>
      <c r="N812" t="str">
        <f>IF(OR(B812="Acquisto",B812="Vendita"),COUNTIFS($C$5:C812,C812,$B$5:B812,"Acquisto")+COUNTIFS($C$5:C812,C812,$B$5:B812,"Vendita"),"")</f>
        <v/>
      </c>
      <c r="O812" t="str">
        <f>IF(N812="","",C812&amp;"|"&amp;N812)</f>
        <v/>
      </c>
      <c r="P812" t="str">
        <f>IF(N812="","",IF(N812=1,0,MATCH(C812&amp;"|"&amp;(N812-1),$O$5:$O$1004,0)))</f>
        <v/>
      </c>
      <c r="Q812" t="str">
        <f>IF(N812="","",IF(P812=0,SUMIFS(Calcoli!$C$7:$C$21,Calcoli!$A$7:$A$21,C812),INDEX($S$5:$S$1004,P812)))</f>
        <v/>
      </c>
      <c r="R812" t="str">
        <f>IF(N812="","",IF(P812=0,SUMIFS(Calcoli!$D$7:$D$21,Calcoli!$A$7:$A$21,C812),INDEX($T$5:$T$1004,P812)))</f>
        <v/>
      </c>
      <c r="S812" t="str">
        <f>IF(N812="","",IF(B812="Acquisto",Q812+N(D812),MAX(0,Q812-N(D812))))</f>
        <v/>
      </c>
      <c r="T812" t="str">
        <f>IF(N812="","",IF(B812="Acquisto",R812+J812+N(G812),IF(Q812&lt;=0,0,R812*(1-MIN(1,N(D812)/Q812)))))</f>
        <v/>
      </c>
      <c r="U812" t="str">
        <f>IF(B812&lt;&gt;"Vendita","",J812-N(G812)-IF(Q812&lt;=0,0,R812*MIN(1,N(D812)/Q812)))</f>
        <v/>
      </c>
      <c r="V812" t="str">
        <f>IF(B812&lt;&gt;"Dividendo","",IF(Calcoli!$B$251=1,J812,L812))</f>
        <v/>
      </c>
      <c r="W812" t="str">
        <f>IF(AND(V812&lt;&gt;"",ISNUMBER(A812)),A812,"")</f>
        <v/>
      </c>
    </row>
    <row r="813">
      <c r="A813" s="134" t="n"/>
      <c r="B813" s="116" t="n"/>
      <c r="C813" s="116" t="n"/>
      <c r="D813" s="121" t="n"/>
      <c r="E813" s="120" t="n"/>
      <c r="F813" s="120" t="n"/>
      <c r="G813" s="120" t="n"/>
      <c r="H813" s="120" t="n"/>
      <c r="I813" s="117" t="n"/>
      <c r="J813" s="123" t="str">
        <f>IF(B813="","",IF(F813&lt;&gt;"",N(F813),ROUND(N(D813)*N(E813),2)))</f>
        <v/>
      </c>
      <c r="K813" s="123" t="str">
        <f>IF(B813="","",IF(H813&lt;&gt;"",N(H813),IF(B813="Dividendo",ROUND(J813*IFERROR(INDEX(Calcoli!$V$7:$V$21,MATCH(C813,Calcoli!$A$7:$A$21,0)),0.26),2),IF(B813="Vendita",ROUND(MAX(0,U813)*IFERROR(INDEX(Calcoli!$V$7:$V$21,MATCH(C813,Calcoli!$A$7:$A$21,0)),0.26),2),0))))</f>
        <v/>
      </c>
      <c r="L813" s="135" t="str">
        <f>IF(B813="","",IF(B813="Acquisto",-(J813+N(G813)),J813-N(G813)-K813))</f>
        <v/>
      </c>
      <c r="M813" s="127" t="str">
        <f>IF(B813="","",IF(ISNA(MATCH(C813,ETF!$A$7:$A$21,0)),"ETF?",IF(NOT(ISNUMBER(A813)),"Data?",IF(AND(B813&lt;&gt;"Dividendo",N(D813)&lt;=0),"Quote?",IF(AND(B813="Vendita",N(D813)&gt;N(Q813)+0.000001),"Quote?",IF(J813&lt;=0,"Importo?","✓"))))))</f>
        <v/>
      </c>
      <c r="N813" t="str">
        <f>IF(OR(B813="Acquisto",B813="Vendita"),COUNTIFS($C$5:C813,C813,$B$5:B813,"Acquisto")+COUNTIFS($C$5:C813,C813,$B$5:B813,"Vendita"),"")</f>
        <v/>
      </c>
      <c r="O813" t="str">
        <f>IF(N813="","",C813&amp;"|"&amp;N813)</f>
        <v/>
      </c>
      <c r="P813" t="str">
        <f>IF(N813="","",IF(N813=1,0,MATCH(C813&amp;"|"&amp;(N813-1),$O$5:$O$1004,0)))</f>
        <v/>
      </c>
      <c r="Q813" t="str">
        <f>IF(N813="","",IF(P813=0,SUMIFS(Calcoli!$C$7:$C$21,Calcoli!$A$7:$A$21,C813),INDEX($S$5:$S$1004,P813)))</f>
        <v/>
      </c>
      <c r="R813" t="str">
        <f>IF(N813="","",IF(P813=0,SUMIFS(Calcoli!$D$7:$D$21,Calcoli!$A$7:$A$21,C813),INDEX($T$5:$T$1004,P813)))</f>
        <v/>
      </c>
      <c r="S813" t="str">
        <f>IF(N813="","",IF(B813="Acquisto",Q813+N(D813),MAX(0,Q813-N(D813))))</f>
        <v/>
      </c>
      <c r="T813" t="str">
        <f>IF(N813="","",IF(B813="Acquisto",R813+J813+N(G813),IF(Q813&lt;=0,0,R813*(1-MIN(1,N(D813)/Q813)))))</f>
        <v/>
      </c>
      <c r="U813" t="str">
        <f>IF(B813&lt;&gt;"Vendita","",J813-N(G813)-IF(Q813&lt;=0,0,R813*MIN(1,N(D813)/Q813)))</f>
        <v/>
      </c>
      <c r="V813" t="str">
        <f>IF(B813&lt;&gt;"Dividendo","",IF(Calcoli!$B$251=1,J813,L813))</f>
        <v/>
      </c>
      <c r="W813" t="str">
        <f>IF(AND(V813&lt;&gt;"",ISNUMBER(A813)),A813,"")</f>
        <v/>
      </c>
    </row>
    <row r="814">
      <c r="A814" s="134" t="n"/>
      <c r="B814" s="116" t="n"/>
      <c r="C814" s="116" t="n"/>
      <c r="D814" s="121" t="n"/>
      <c r="E814" s="120" t="n"/>
      <c r="F814" s="120" t="n"/>
      <c r="G814" s="120" t="n"/>
      <c r="H814" s="120" t="n"/>
      <c r="I814" s="117" t="n"/>
      <c r="J814" s="123" t="str">
        <f>IF(B814="","",IF(F814&lt;&gt;"",N(F814),ROUND(N(D814)*N(E814),2)))</f>
        <v/>
      </c>
      <c r="K814" s="123" t="str">
        <f>IF(B814="","",IF(H814&lt;&gt;"",N(H814),IF(B814="Dividendo",ROUND(J814*IFERROR(INDEX(Calcoli!$V$7:$V$21,MATCH(C814,Calcoli!$A$7:$A$21,0)),0.26),2),IF(B814="Vendita",ROUND(MAX(0,U814)*IFERROR(INDEX(Calcoli!$V$7:$V$21,MATCH(C814,Calcoli!$A$7:$A$21,0)),0.26),2),0))))</f>
        <v/>
      </c>
      <c r="L814" s="135" t="str">
        <f>IF(B814="","",IF(B814="Acquisto",-(J814+N(G814)),J814-N(G814)-K814))</f>
        <v/>
      </c>
      <c r="M814" s="127" t="str">
        <f>IF(B814="","",IF(ISNA(MATCH(C814,ETF!$A$7:$A$21,0)),"ETF?",IF(NOT(ISNUMBER(A814)),"Data?",IF(AND(B814&lt;&gt;"Dividendo",N(D814)&lt;=0),"Quote?",IF(AND(B814="Vendita",N(D814)&gt;N(Q814)+0.000001),"Quote?",IF(J814&lt;=0,"Importo?","✓"))))))</f>
        <v/>
      </c>
      <c r="N814" t="str">
        <f>IF(OR(B814="Acquisto",B814="Vendita"),COUNTIFS($C$5:C814,C814,$B$5:B814,"Acquisto")+COUNTIFS($C$5:C814,C814,$B$5:B814,"Vendita"),"")</f>
        <v/>
      </c>
      <c r="O814" t="str">
        <f>IF(N814="","",C814&amp;"|"&amp;N814)</f>
        <v/>
      </c>
      <c r="P814" t="str">
        <f>IF(N814="","",IF(N814=1,0,MATCH(C814&amp;"|"&amp;(N814-1),$O$5:$O$1004,0)))</f>
        <v/>
      </c>
      <c r="Q814" t="str">
        <f>IF(N814="","",IF(P814=0,SUMIFS(Calcoli!$C$7:$C$21,Calcoli!$A$7:$A$21,C814),INDEX($S$5:$S$1004,P814)))</f>
        <v/>
      </c>
      <c r="R814" t="str">
        <f>IF(N814="","",IF(P814=0,SUMIFS(Calcoli!$D$7:$D$21,Calcoli!$A$7:$A$21,C814),INDEX($T$5:$T$1004,P814)))</f>
        <v/>
      </c>
      <c r="S814" t="str">
        <f>IF(N814="","",IF(B814="Acquisto",Q814+N(D814),MAX(0,Q814-N(D814))))</f>
        <v/>
      </c>
      <c r="T814" t="str">
        <f>IF(N814="","",IF(B814="Acquisto",R814+J814+N(G814),IF(Q814&lt;=0,0,R814*(1-MIN(1,N(D814)/Q814)))))</f>
        <v/>
      </c>
      <c r="U814" t="str">
        <f>IF(B814&lt;&gt;"Vendita","",J814-N(G814)-IF(Q814&lt;=0,0,R814*MIN(1,N(D814)/Q814)))</f>
        <v/>
      </c>
      <c r="V814" t="str">
        <f>IF(B814&lt;&gt;"Dividendo","",IF(Calcoli!$B$251=1,J814,L814))</f>
        <v/>
      </c>
      <c r="W814" t="str">
        <f>IF(AND(V814&lt;&gt;"",ISNUMBER(A814)),A814,"")</f>
        <v/>
      </c>
    </row>
    <row r="815">
      <c r="A815" s="134" t="n"/>
      <c r="B815" s="116" t="n"/>
      <c r="C815" s="116" t="n"/>
      <c r="D815" s="121" t="n"/>
      <c r="E815" s="120" t="n"/>
      <c r="F815" s="120" t="n"/>
      <c r="G815" s="120" t="n"/>
      <c r="H815" s="120" t="n"/>
      <c r="I815" s="117" t="n"/>
      <c r="J815" s="123" t="str">
        <f>IF(B815="","",IF(F815&lt;&gt;"",N(F815),ROUND(N(D815)*N(E815),2)))</f>
        <v/>
      </c>
      <c r="K815" s="123" t="str">
        <f>IF(B815="","",IF(H815&lt;&gt;"",N(H815),IF(B815="Dividendo",ROUND(J815*IFERROR(INDEX(Calcoli!$V$7:$V$21,MATCH(C815,Calcoli!$A$7:$A$21,0)),0.26),2),IF(B815="Vendita",ROUND(MAX(0,U815)*IFERROR(INDEX(Calcoli!$V$7:$V$21,MATCH(C815,Calcoli!$A$7:$A$21,0)),0.26),2),0))))</f>
        <v/>
      </c>
      <c r="L815" s="135" t="str">
        <f>IF(B815="","",IF(B815="Acquisto",-(J815+N(G815)),J815-N(G815)-K815))</f>
        <v/>
      </c>
      <c r="M815" s="127" t="str">
        <f>IF(B815="","",IF(ISNA(MATCH(C815,ETF!$A$7:$A$21,0)),"ETF?",IF(NOT(ISNUMBER(A815)),"Data?",IF(AND(B815&lt;&gt;"Dividendo",N(D815)&lt;=0),"Quote?",IF(AND(B815="Vendita",N(D815)&gt;N(Q815)+0.000001),"Quote?",IF(J815&lt;=0,"Importo?","✓"))))))</f>
        <v/>
      </c>
      <c r="N815" t="str">
        <f>IF(OR(B815="Acquisto",B815="Vendita"),COUNTIFS($C$5:C815,C815,$B$5:B815,"Acquisto")+COUNTIFS($C$5:C815,C815,$B$5:B815,"Vendita"),"")</f>
        <v/>
      </c>
      <c r="O815" t="str">
        <f>IF(N815="","",C815&amp;"|"&amp;N815)</f>
        <v/>
      </c>
      <c r="P815" t="str">
        <f>IF(N815="","",IF(N815=1,0,MATCH(C815&amp;"|"&amp;(N815-1),$O$5:$O$1004,0)))</f>
        <v/>
      </c>
      <c r="Q815" t="str">
        <f>IF(N815="","",IF(P815=0,SUMIFS(Calcoli!$C$7:$C$21,Calcoli!$A$7:$A$21,C815),INDEX($S$5:$S$1004,P815)))</f>
        <v/>
      </c>
      <c r="R815" t="str">
        <f>IF(N815="","",IF(P815=0,SUMIFS(Calcoli!$D$7:$D$21,Calcoli!$A$7:$A$21,C815),INDEX($T$5:$T$1004,P815)))</f>
        <v/>
      </c>
      <c r="S815" t="str">
        <f>IF(N815="","",IF(B815="Acquisto",Q815+N(D815),MAX(0,Q815-N(D815))))</f>
        <v/>
      </c>
      <c r="T815" t="str">
        <f>IF(N815="","",IF(B815="Acquisto",R815+J815+N(G815),IF(Q815&lt;=0,0,R815*(1-MIN(1,N(D815)/Q815)))))</f>
        <v/>
      </c>
      <c r="U815" t="str">
        <f>IF(B815&lt;&gt;"Vendita","",J815-N(G815)-IF(Q815&lt;=0,0,R815*MIN(1,N(D815)/Q815)))</f>
        <v/>
      </c>
      <c r="V815" t="str">
        <f>IF(B815&lt;&gt;"Dividendo","",IF(Calcoli!$B$251=1,J815,L815))</f>
        <v/>
      </c>
      <c r="W815" t="str">
        <f>IF(AND(V815&lt;&gt;"",ISNUMBER(A815)),A815,"")</f>
        <v/>
      </c>
    </row>
    <row r="816">
      <c r="A816" s="134" t="n"/>
      <c r="B816" s="116" t="n"/>
      <c r="C816" s="116" t="n"/>
      <c r="D816" s="121" t="n"/>
      <c r="E816" s="120" t="n"/>
      <c r="F816" s="120" t="n"/>
      <c r="G816" s="120" t="n"/>
      <c r="H816" s="120" t="n"/>
      <c r="I816" s="117" t="n"/>
      <c r="J816" s="123" t="str">
        <f>IF(B816="","",IF(F816&lt;&gt;"",N(F816),ROUND(N(D816)*N(E816),2)))</f>
        <v/>
      </c>
      <c r="K816" s="123" t="str">
        <f>IF(B816="","",IF(H816&lt;&gt;"",N(H816),IF(B816="Dividendo",ROUND(J816*IFERROR(INDEX(Calcoli!$V$7:$V$21,MATCH(C816,Calcoli!$A$7:$A$21,0)),0.26),2),IF(B816="Vendita",ROUND(MAX(0,U816)*IFERROR(INDEX(Calcoli!$V$7:$V$21,MATCH(C816,Calcoli!$A$7:$A$21,0)),0.26),2),0))))</f>
        <v/>
      </c>
      <c r="L816" s="135" t="str">
        <f>IF(B816="","",IF(B816="Acquisto",-(J816+N(G816)),J816-N(G816)-K816))</f>
        <v/>
      </c>
      <c r="M816" s="127" t="str">
        <f>IF(B816="","",IF(ISNA(MATCH(C816,ETF!$A$7:$A$21,0)),"ETF?",IF(NOT(ISNUMBER(A816)),"Data?",IF(AND(B816&lt;&gt;"Dividendo",N(D816)&lt;=0),"Quote?",IF(AND(B816="Vendita",N(D816)&gt;N(Q816)+0.000001),"Quote?",IF(J816&lt;=0,"Importo?","✓"))))))</f>
        <v/>
      </c>
      <c r="N816" t="str">
        <f>IF(OR(B816="Acquisto",B816="Vendita"),COUNTIFS($C$5:C816,C816,$B$5:B816,"Acquisto")+COUNTIFS($C$5:C816,C816,$B$5:B816,"Vendita"),"")</f>
        <v/>
      </c>
      <c r="O816" t="str">
        <f>IF(N816="","",C816&amp;"|"&amp;N816)</f>
        <v/>
      </c>
      <c r="P816" t="str">
        <f>IF(N816="","",IF(N816=1,0,MATCH(C816&amp;"|"&amp;(N816-1),$O$5:$O$1004,0)))</f>
        <v/>
      </c>
      <c r="Q816" t="str">
        <f>IF(N816="","",IF(P816=0,SUMIFS(Calcoli!$C$7:$C$21,Calcoli!$A$7:$A$21,C816),INDEX($S$5:$S$1004,P816)))</f>
        <v/>
      </c>
      <c r="R816" t="str">
        <f>IF(N816="","",IF(P816=0,SUMIFS(Calcoli!$D$7:$D$21,Calcoli!$A$7:$A$21,C816),INDEX($T$5:$T$1004,P816)))</f>
        <v/>
      </c>
      <c r="S816" t="str">
        <f>IF(N816="","",IF(B816="Acquisto",Q816+N(D816),MAX(0,Q816-N(D816))))</f>
        <v/>
      </c>
      <c r="T816" t="str">
        <f>IF(N816="","",IF(B816="Acquisto",R816+J816+N(G816),IF(Q816&lt;=0,0,R816*(1-MIN(1,N(D816)/Q816)))))</f>
        <v/>
      </c>
      <c r="U816" t="str">
        <f>IF(B816&lt;&gt;"Vendita","",J816-N(G816)-IF(Q816&lt;=0,0,R816*MIN(1,N(D816)/Q816)))</f>
        <v/>
      </c>
      <c r="V816" t="str">
        <f>IF(B816&lt;&gt;"Dividendo","",IF(Calcoli!$B$251=1,J816,L816))</f>
        <v/>
      </c>
      <c r="W816" t="str">
        <f>IF(AND(V816&lt;&gt;"",ISNUMBER(A816)),A816,"")</f>
        <v/>
      </c>
    </row>
    <row r="817">
      <c r="A817" s="134" t="n"/>
      <c r="B817" s="116" t="n"/>
      <c r="C817" s="116" t="n"/>
      <c r="D817" s="121" t="n"/>
      <c r="E817" s="120" t="n"/>
      <c r="F817" s="120" t="n"/>
      <c r="G817" s="120" t="n"/>
      <c r="H817" s="120" t="n"/>
      <c r="I817" s="117" t="n"/>
      <c r="J817" s="123" t="str">
        <f>IF(B817="","",IF(F817&lt;&gt;"",N(F817),ROUND(N(D817)*N(E817),2)))</f>
        <v/>
      </c>
      <c r="K817" s="123" t="str">
        <f>IF(B817="","",IF(H817&lt;&gt;"",N(H817),IF(B817="Dividendo",ROUND(J817*IFERROR(INDEX(Calcoli!$V$7:$V$21,MATCH(C817,Calcoli!$A$7:$A$21,0)),0.26),2),IF(B817="Vendita",ROUND(MAX(0,U817)*IFERROR(INDEX(Calcoli!$V$7:$V$21,MATCH(C817,Calcoli!$A$7:$A$21,0)),0.26),2),0))))</f>
        <v/>
      </c>
      <c r="L817" s="135" t="str">
        <f>IF(B817="","",IF(B817="Acquisto",-(J817+N(G817)),J817-N(G817)-K817))</f>
        <v/>
      </c>
      <c r="M817" s="127" t="str">
        <f>IF(B817="","",IF(ISNA(MATCH(C817,ETF!$A$7:$A$21,0)),"ETF?",IF(NOT(ISNUMBER(A817)),"Data?",IF(AND(B817&lt;&gt;"Dividendo",N(D817)&lt;=0),"Quote?",IF(AND(B817="Vendita",N(D817)&gt;N(Q817)+0.000001),"Quote?",IF(J817&lt;=0,"Importo?","✓"))))))</f>
        <v/>
      </c>
      <c r="N817" t="str">
        <f>IF(OR(B817="Acquisto",B817="Vendita"),COUNTIFS($C$5:C817,C817,$B$5:B817,"Acquisto")+COUNTIFS($C$5:C817,C817,$B$5:B817,"Vendita"),"")</f>
        <v/>
      </c>
      <c r="O817" t="str">
        <f>IF(N817="","",C817&amp;"|"&amp;N817)</f>
        <v/>
      </c>
      <c r="P817" t="str">
        <f>IF(N817="","",IF(N817=1,0,MATCH(C817&amp;"|"&amp;(N817-1),$O$5:$O$1004,0)))</f>
        <v/>
      </c>
      <c r="Q817" t="str">
        <f>IF(N817="","",IF(P817=0,SUMIFS(Calcoli!$C$7:$C$21,Calcoli!$A$7:$A$21,C817),INDEX($S$5:$S$1004,P817)))</f>
        <v/>
      </c>
      <c r="R817" t="str">
        <f>IF(N817="","",IF(P817=0,SUMIFS(Calcoli!$D$7:$D$21,Calcoli!$A$7:$A$21,C817),INDEX($T$5:$T$1004,P817)))</f>
        <v/>
      </c>
      <c r="S817" t="str">
        <f>IF(N817="","",IF(B817="Acquisto",Q817+N(D817),MAX(0,Q817-N(D817))))</f>
        <v/>
      </c>
      <c r="T817" t="str">
        <f>IF(N817="","",IF(B817="Acquisto",R817+J817+N(G817),IF(Q817&lt;=0,0,R817*(1-MIN(1,N(D817)/Q817)))))</f>
        <v/>
      </c>
      <c r="U817" t="str">
        <f>IF(B817&lt;&gt;"Vendita","",J817-N(G817)-IF(Q817&lt;=0,0,R817*MIN(1,N(D817)/Q817)))</f>
        <v/>
      </c>
      <c r="V817" t="str">
        <f>IF(B817&lt;&gt;"Dividendo","",IF(Calcoli!$B$251=1,J817,L817))</f>
        <v/>
      </c>
      <c r="W817" t="str">
        <f>IF(AND(V817&lt;&gt;"",ISNUMBER(A817)),A817,"")</f>
        <v/>
      </c>
    </row>
    <row r="818">
      <c r="A818" s="134" t="n"/>
      <c r="B818" s="116" t="n"/>
      <c r="C818" s="116" t="n"/>
      <c r="D818" s="121" t="n"/>
      <c r="E818" s="120" t="n"/>
      <c r="F818" s="120" t="n"/>
      <c r="G818" s="120" t="n"/>
      <c r="H818" s="120" t="n"/>
      <c r="I818" s="117" t="n"/>
      <c r="J818" s="123" t="str">
        <f>IF(B818="","",IF(F818&lt;&gt;"",N(F818),ROUND(N(D818)*N(E818),2)))</f>
        <v/>
      </c>
      <c r="K818" s="123" t="str">
        <f>IF(B818="","",IF(H818&lt;&gt;"",N(H818),IF(B818="Dividendo",ROUND(J818*IFERROR(INDEX(Calcoli!$V$7:$V$21,MATCH(C818,Calcoli!$A$7:$A$21,0)),0.26),2),IF(B818="Vendita",ROUND(MAX(0,U818)*IFERROR(INDEX(Calcoli!$V$7:$V$21,MATCH(C818,Calcoli!$A$7:$A$21,0)),0.26),2),0))))</f>
        <v/>
      </c>
      <c r="L818" s="135" t="str">
        <f>IF(B818="","",IF(B818="Acquisto",-(J818+N(G818)),J818-N(G818)-K818))</f>
        <v/>
      </c>
      <c r="M818" s="127" t="str">
        <f>IF(B818="","",IF(ISNA(MATCH(C818,ETF!$A$7:$A$21,0)),"ETF?",IF(NOT(ISNUMBER(A818)),"Data?",IF(AND(B818&lt;&gt;"Dividendo",N(D818)&lt;=0),"Quote?",IF(AND(B818="Vendita",N(D818)&gt;N(Q818)+0.000001),"Quote?",IF(J818&lt;=0,"Importo?","✓"))))))</f>
        <v/>
      </c>
      <c r="N818" t="str">
        <f>IF(OR(B818="Acquisto",B818="Vendita"),COUNTIFS($C$5:C818,C818,$B$5:B818,"Acquisto")+COUNTIFS($C$5:C818,C818,$B$5:B818,"Vendita"),"")</f>
        <v/>
      </c>
      <c r="O818" t="str">
        <f>IF(N818="","",C818&amp;"|"&amp;N818)</f>
        <v/>
      </c>
      <c r="P818" t="str">
        <f>IF(N818="","",IF(N818=1,0,MATCH(C818&amp;"|"&amp;(N818-1),$O$5:$O$1004,0)))</f>
        <v/>
      </c>
      <c r="Q818" t="str">
        <f>IF(N818="","",IF(P818=0,SUMIFS(Calcoli!$C$7:$C$21,Calcoli!$A$7:$A$21,C818),INDEX($S$5:$S$1004,P818)))</f>
        <v/>
      </c>
      <c r="R818" t="str">
        <f>IF(N818="","",IF(P818=0,SUMIFS(Calcoli!$D$7:$D$21,Calcoli!$A$7:$A$21,C818),INDEX($T$5:$T$1004,P818)))</f>
        <v/>
      </c>
      <c r="S818" t="str">
        <f>IF(N818="","",IF(B818="Acquisto",Q818+N(D818),MAX(0,Q818-N(D818))))</f>
        <v/>
      </c>
      <c r="T818" t="str">
        <f>IF(N818="","",IF(B818="Acquisto",R818+J818+N(G818),IF(Q818&lt;=0,0,R818*(1-MIN(1,N(D818)/Q818)))))</f>
        <v/>
      </c>
      <c r="U818" t="str">
        <f>IF(B818&lt;&gt;"Vendita","",J818-N(G818)-IF(Q818&lt;=0,0,R818*MIN(1,N(D818)/Q818)))</f>
        <v/>
      </c>
      <c r="V818" t="str">
        <f>IF(B818&lt;&gt;"Dividendo","",IF(Calcoli!$B$251=1,J818,L818))</f>
        <v/>
      </c>
      <c r="W818" t="str">
        <f>IF(AND(V818&lt;&gt;"",ISNUMBER(A818)),A818,"")</f>
        <v/>
      </c>
    </row>
    <row r="819">
      <c r="A819" s="134" t="n"/>
      <c r="B819" s="116" t="n"/>
      <c r="C819" s="116" t="n"/>
      <c r="D819" s="121" t="n"/>
      <c r="E819" s="120" t="n"/>
      <c r="F819" s="120" t="n"/>
      <c r="G819" s="120" t="n"/>
      <c r="H819" s="120" t="n"/>
      <c r="I819" s="117" t="n"/>
      <c r="J819" s="123" t="str">
        <f>IF(B819="","",IF(F819&lt;&gt;"",N(F819),ROUND(N(D819)*N(E819),2)))</f>
        <v/>
      </c>
      <c r="K819" s="123" t="str">
        <f>IF(B819="","",IF(H819&lt;&gt;"",N(H819),IF(B819="Dividendo",ROUND(J819*IFERROR(INDEX(Calcoli!$V$7:$V$21,MATCH(C819,Calcoli!$A$7:$A$21,0)),0.26),2),IF(B819="Vendita",ROUND(MAX(0,U819)*IFERROR(INDEX(Calcoli!$V$7:$V$21,MATCH(C819,Calcoli!$A$7:$A$21,0)),0.26),2),0))))</f>
        <v/>
      </c>
      <c r="L819" s="135" t="str">
        <f>IF(B819="","",IF(B819="Acquisto",-(J819+N(G819)),J819-N(G819)-K819))</f>
        <v/>
      </c>
      <c r="M819" s="127" t="str">
        <f>IF(B819="","",IF(ISNA(MATCH(C819,ETF!$A$7:$A$21,0)),"ETF?",IF(NOT(ISNUMBER(A819)),"Data?",IF(AND(B819&lt;&gt;"Dividendo",N(D819)&lt;=0),"Quote?",IF(AND(B819="Vendita",N(D819)&gt;N(Q819)+0.000001),"Quote?",IF(J819&lt;=0,"Importo?","✓"))))))</f>
        <v/>
      </c>
      <c r="N819" t="str">
        <f>IF(OR(B819="Acquisto",B819="Vendita"),COUNTIFS($C$5:C819,C819,$B$5:B819,"Acquisto")+COUNTIFS($C$5:C819,C819,$B$5:B819,"Vendita"),"")</f>
        <v/>
      </c>
      <c r="O819" t="str">
        <f>IF(N819="","",C819&amp;"|"&amp;N819)</f>
        <v/>
      </c>
      <c r="P819" t="str">
        <f>IF(N819="","",IF(N819=1,0,MATCH(C819&amp;"|"&amp;(N819-1),$O$5:$O$1004,0)))</f>
        <v/>
      </c>
      <c r="Q819" t="str">
        <f>IF(N819="","",IF(P819=0,SUMIFS(Calcoli!$C$7:$C$21,Calcoli!$A$7:$A$21,C819),INDEX($S$5:$S$1004,P819)))</f>
        <v/>
      </c>
      <c r="R819" t="str">
        <f>IF(N819="","",IF(P819=0,SUMIFS(Calcoli!$D$7:$D$21,Calcoli!$A$7:$A$21,C819),INDEX($T$5:$T$1004,P819)))</f>
        <v/>
      </c>
      <c r="S819" t="str">
        <f>IF(N819="","",IF(B819="Acquisto",Q819+N(D819),MAX(0,Q819-N(D819))))</f>
        <v/>
      </c>
      <c r="T819" t="str">
        <f>IF(N819="","",IF(B819="Acquisto",R819+J819+N(G819),IF(Q819&lt;=0,0,R819*(1-MIN(1,N(D819)/Q819)))))</f>
        <v/>
      </c>
      <c r="U819" t="str">
        <f>IF(B819&lt;&gt;"Vendita","",J819-N(G819)-IF(Q819&lt;=0,0,R819*MIN(1,N(D819)/Q819)))</f>
        <v/>
      </c>
      <c r="V819" t="str">
        <f>IF(B819&lt;&gt;"Dividendo","",IF(Calcoli!$B$251=1,J819,L819))</f>
        <v/>
      </c>
      <c r="W819" t="str">
        <f>IF(AND(V819&lt;&gt;"",ISNUMBER(A819)),A819,"")</f>
        <v/>
      </c>
    </row>
    <row r="820">
      <c r="A820" s="134" t="n"/>
      <c r="B820" s="116" t="n"/>
      <c r="C820" s="116" t="n"/>
      <c r="D820" s="121" t="n"/>
      <c r="E820" s="120" t="n"/>
      <c r="F820" s="120" t="n"/>
      <c r="G820" s="120" t="n"/>
      <c r="H820" s="120" t="n"/>
      <c r="I820" s="117" t="n"/>
      <c r="J820" s="123" t="str">
        <f>IF(B820="","",IF(F820&lt;&gt;"",N(F820),ROUND(N(D820)*N(E820),2)))</f>
        <v/>
      </c>
      <c r="K820" s="123" t="str">
        <f>IF(B820="","",IF(H820&lt;&gt;"",N(H820),IF(B820="Dividendo",ROUND(J820*IFERROR(INDEX(Calcoli!$V$7:$V$21,MATCH(C820,Calcoli!$A$7:$A$21,0)),0.26),2),IF(B820="Vendita",ROUND(MAX(0,U820)*IFERROR(INDEX(Calcoli!$V$7:$V$21,MATCH(C820,Calcoli!$A$7:$A$21,0)),0.26),2),0))))</f>
        <v/>
      </c>
      <c r="L820" s="135" t="str">
        <f>IF(B820="","",IF(B820="Acquisto",-(J820+N(G820)),J820-N(G820)-K820))</f>
        <v/>
      </c>
      <c r="M820" s="127" t="str">
        <f>IF(B820="","",IF(ISNA(MATCH(C820,ETF!$A$7:$A$21,0)),"ETF?",IF(NOT(ISNUMBER(A820)),"Data?",IF(AND(B820&lt;&gt;"Dividendo",N(D820)&lt;=0),"Quote?",IF(AND(B820="Vendita",N(D820)&gt;N(Q820)+0.000001),"Quote?",IF(J820&lt;=0,"Importo?","✓"))))))</f>
        <v/>
      </c>
      <c r="N820" t="str">
        <f>IF(OR(B820="Acquisto",B820="Vendita"),COUNTIFS($C$5:C820,C820,$B$5:B820,"Acquisto")+COUNTIFS($C$5:C820,C820,$B$5:B820,"Vendita"),"")</f>
        <v/>
      </c>
      <c r="O820" t="str">
        <f>IF(N820="","",C820&amp;"|"&amp;N820)</f>
        <v/>
      </c>
      <c r="P820" t="str">
        <f>IF(N820="","",IF(N820=1,0,MATCH(C820&amp;"|"&amp;(N820-1),$O$5:$O$1004,0)))</f>
        <v/>
      </c>
      <c r="Q820" t="str">
        <f>IF(N820="","",IF(P820=0,SUMIFS(Calcoli!$C$7:$C$21,Calcoli!$A$7:$A$21,C820),INDEX($S$5:$S$1004,P820)))</f>
        <v/>
      </c>
      <c r="R820" t="str">
        <f>IF(N820="","",IF(P820=0,SUMIFS(Calcoli!$D$7:$D$21,Calcoli!$A$7:$A$21,C820),INDEX($T$5:$T$1004,P820)))</f>
        <v/>
      </c>
      <c r="S820" t="str">
        <f>IF(N820="","",IF(B820="Acquisto",Q820+N(D820),MAX(0,Q820-N(D820))))</f>
        <v/>
      </c>
      <c r="T820" t="str">
        <f>IF(N820="","",IF(B820="Acquisto",R820+J820+N(G820),IF(Q820&lt;=0,0,R820*(1-MIN(1,N(D820)/Q820)))))</f>
        <v/>
      </c>
      <c r="U820" t="str">
        <f>IF(B820&lt;&gt;"Vendita","",J820-N(G820)-IF(Q820&lt;=0,0,R820*MIN(1,N(D820)/Q820)))</f>
        <v/>
      </c>
      <c r="V820" t="str">
        <f>IF(B820&lt;&gt;"Dividendo","",IF(Calcoli!$B$251=1,J820,L820))</f>
        <v/>
      </c>
      <c r="W820" t="str">
        <f>IF(AND(V820&lt;&gt;"",ISNUMBER(A820)),A820,"")</f>
        <v/>
      </c>
    </row>
    <row r="821">
      <c r="A821" s="134" t="n"/>
      <c r="B821" s="116" t="n"/>
      <c r="C821" s="116" t="n"/>
      <c r="D821" s="121" t="n"/>
      <c r="E821" s="120" t="n"/>
      <c r="F821" s="120" t="n"/>
      <c r="G821" s="120" t="n"/>
      <c r="H821" s="120" t="n"/>
      <c r="I821" s="117" t="n"/>
      <c r="J821" s="123" t="str">
        <f>IF(B821="","",IF(F821&lt;&gt;"",N(F821),ROUND(N(D821)*N(E821),2)))</f>
        <v/>
      </c>
      <c r="K821" s="123" t="str">
        <f>IF(B821="","",IF(H821&lt;&gt;"",N(H821),IF(B821="Dividendo",ROUND(J821*IFERROR(INDEX(Calcoli!$V$7:$V$21,MATCH(C821,Calcoli!$A$7:$A$21,0)),0.26),2),IF(B821="Vendita",ROUND(MAX(0,U821)*IFERROR(INDEX(Calcoli!$V$7:$V$21,MATCH(C821,Calcoli!$A$7:$A$21,0)),0.26),2),0))))</f>
        <v/>
      </c>
      <c r="L821" s="135" t="str">
        <f>IF(B821="","",IF(B821="Acquisto",-(J821+N(G821)),J821-N(G821)-K821))</f>
        <v/>
      </c>
      <c r="M821" s="127" t="str">
        <f>IF(B821="","",IF(ISNA(MATCH(C821,ETF!$A$7:$A$21,0)),"ETF?",IF(NOT(ISNUMBER(A821)),"Data?",IF(AND(B821&lt;&gt;"Dividendo",N(D821)&lt;=0),"Quote?",IF(AND(B821="Vendita",N(D821)&gt;N(Q821)+0.000001),"Quote?",IF(J821&lt;=0,"Importo?","✓"))))))</f>
        <v/>
      </c>
      <c r="N821" t="str">
        <f>IF(OR(B821="Acquisto",B821="Vendita"),COUNTIFS($C$5:C821,C821,$B$5:B821,"Acquisto")+COUNTIFS($C$5:C821,C821,$B$5:B821,"Vendita"),"")</f>
        <v/>
      </c>
      <c r="O821" t="str">
        <f>IF(N821="","",C821&amp;"|"&amp;N821)</f>
        <v/>
      </c>
      <c r="P821" t="str">
        <f>IF(N821="","",IF(N821=1,0,MATCH(C821&amp;"|"&amp;(N821-1),$O$5:$O$1004,0)))</f>
        <v/>
      </c>
      <c r="Q821" t="str">
        <f>IF(N821="","",IF(P821=0,SUMIFS(Calcoli!$C$7:$C$21,Calcoli!$A$7:$A$21,C821),INDEX($S$5:$S$1004,P821)))</f>
        <v/>
      </c>
      <c r="R821" t="str">
        <f>IF(N821="","",IF(P821=0,SUMIFS(Calcoli!$D$7:$D$21,Calcoli!$A$7:$A$21,C821),INDEX($T$5:$T$1004,P821)))</f>
        <v/>
      </c>
      <c r="S821" t="str">
        <f>IF(N821="","",IF(B821="Acquisto",Q821+N(D821),MAX(0,Q821-N(D821))))</f>
        <v/>
      </c>
      <c r="T821" t="str">
        <f>IF(N821="","",IF(B821="Acquisto",R821+J821+N(G821),IF(Q821&lt;=0,0,R821*(1-MIN(1,N(D821)/Q821)))))</f>
        <v/>
      </c>
      <c r="U821" t="str">
        <f>IF(B821&lt;&gt;"Vendita","",J821-N(G821)-IF(Q821&lt;=0,0,R821*MIN(1,N(D821)/Q821)))</f>
        <v/>
      </c>
      <c r="V821" t="str">
        <f>IF(B821&lt;&gt;"Dividendo","",IF(Calcoli!$B$251=1,J821,L821))</f>
        <v/>
      </c>
      <c r="W821" t="str">
        <f>IF(AND(V821&lt;&gt;"",ISNUMBER(A821)),A821,"")</f>
        <v/>
      </c>
    </row>
    <row r="822">
      <c r="A822" s="134" t="n"/>
      <c r="B822" s="116" t="n"/>
      <c r="C822" s="116" t="n"/>
      <c r="D822" s="121" t="n"/>
      <c r="E822" s="120" t="n"/>
      <c r="F822" s="120" t="n"/>
      <c r="G822" s="120" t="n"/>
      <c r="H822" s="120" t="n"/>
      <c r="I822" s="117" t="n"/>
      <c r="J822" s="123" t="str">
        <f>IF(B822="","",IF(F822&lt;&gt;"",N(F822),ROUND(N(D822)*N(E822),2)))</f>
        <v/>
      </c>
      <c r="K822" s="123" t="str">
        <f>IF(B822="","",IF(H822&lt;&gt;"",N(H822),IF(B822="Dividendo",ROUND(J822*IFERROR(INDEX(Calcoli!$V$7:$V$21,MATCH(C822,Calcoli!$A$7:$A$21,0)),0.26),2),IF(B822="Vendita",ROUND(MAX(0,U822)*IFERROR(INDEX(Calcoli!$V$7:$V$21,MATCH(C822,Calcoli!$A$7:$A$21,0)),0.26),2),0))))</f>
        <v/>
      </c>
      <c r="L822" s="135" t="str">
        <f>IF(B822="","",IF(B822="Acquisto",-(J822+N(G822)),J822-N(G822)-K822))</f>
        <v/>
      </c>
      <c r="M822" s="127" t="str">
        <f>IF(B822="","",IF(ISNA(MATCH(C822,ETF!$A$7:$A$21,0)),"ETF?",IF(NOT(ISNUMBER(A822)),"Data?",IF(AND(B822&lt;&gt;"Dividendo",N(D822)&lt;=0),"Quote?",IF(AND(B822="Vendita",N(D822)&gt;N(Q822)+0.000001),"Quote?",IF(J822&lt;=0,"Importo?","✓"))))))</f>
        <v/>
      </c>
      <c r="N822" t="str">
        <f>IF(OR(B822="Acquisto",B822="Vendita"),COUNTIFS($C$5:C822,C822,$B$5:B822,"Acquisto")+COUNTIFS($C$5:C822,C822,$B$5:B822,"Vendita"),"")</f>
        <v/>
      </c>
      <c r="O822" t="str">
        <f>IF(N822="","",C822&amp;"|"&amp;N822)</f>
        <v/>
      </c>
      <c r="P822" t="str">
        <f>IF(N822="","",IF(N822=1,0,MATCH(C822&amp;"|"&amp;(N822-1),$O$5:$O$1004,0)))</f>
        <v/>
      </c>
      <c r="Q822" t="str">
        <f>IF(N822="","",IF(P822=0,SUMIFS(Calcoli!$C$7:$C$21,Calcoli!$A$7:$A$21,C822),INDEX($S$5:$S$1004,P822)))</f>
        <v/>
      </c>
      <c r="R822" t="str">
        <f>IF(N822="","",IF(P822=0,SUMIFS(Calcoli!$D$7:$D$21,Calcoli!$A$7:$A$21,C822),INDEX($T$5:$T$1004,P822)))</f>
        <v/>
      </c>
      <c r="S822" t="str">
        <f>IF(N822="","",IF(B822="Acquisto",Q822+N(D822),MAX(0,Q822-N(D822))))</f>
        <v/>
      </c>
      <c r="T822" t="str">
        <f>IF(N822="","",IF(B822="Acquisto",R822+J822+N(G822),IF(Q822&lt;=0,0,R822*(1-MIN(1,N(D822)/Q822)))))</f>
        <v/>
      </c>
      <c r="U822" t="str">
        <f>IF(B822&lt;&gt;"Vendita","",J822-N(G822)-IF(Q822&lt;=0,0,R822*MIN(1,N(D822)/Q822)))</f>
        <v/>
      </c>
      <c r="V822" t="str">
        <f>IF(B822&lt;&gt;"Dividendo","",IF(Calcoli!$B$251=1,J822,L822))</f>
        <v/>
      </c>
      <c r="W822" t="str">
        <f>IF(AND(V822&lt;&gt;"",ISNUMBER(A822)),A822,"")</f>
        <v/>
      </c>
    </row>
    <row r="823">
      <c r="A823" s="134" t="n"/>
      <c r="B823" s="116" t="n"/>
      <c r="C823" s="116" t="n"/>
      <c r="D823" s="121" t="n"/>
      <c r="E823" s="120" t="n"/>
      <c r="F823" s="120" t="n"/>
      <c r="G823" s="120" t="n"/>
      <c r="H823" s="120" t="n"/>
      <c r="I823" s="117" t="n"/>
      <c r="J823" s="123" t="str">
        <f>IF(B823="","",IF(F823&lt;&gt;"",N(F823),ROUND(N(D823)*N(E823),2)))</f>
        <v/>
      </c>
      <c r="K823" s="123" t="str">
        <f>IF(B823="","",IF(H823&lt;&gt;"",N(H823),IF(B823="Dividendo",ROUND(J823*IFERROR(INDEX(Calcoli!$V$7:$V$21,MATCH(C823,Calcoli!$A$7:$A$21,0)),0.26),2),IF(B823="Vendita",ROUND(MAX(0,U823)*IFERROR(INDEX(Calcoli!$V$7:$V$21,MATCH(C823,Calcoli!$A$7:$A$21,0)),0.26),2),0))))</f>
        <v/>
      </c>
      <c r="L823" s="135" t="str">
        <f>IF(B823="","",IF(B823="Acquisto",-(J823+N(G823)),J823-N(G823)-K823))</f>
        <v/>
      </c>
      <c r="M823" s="127" t="str">
        <f>IF(B823="","",IF(ISNA(MATCH(C823,ETF!$A$7:$A$21,0)),"ETF?",IF(NOT(ISNUMBER(A823)),"Data?",IF(AND(B823&lt;&gt;"Dividendo",N(D823)&lt;=0),"Quote?",IF(AND(B823="Vendita",N(D823)&gt;N(Q823)+0.000001),"Quote?",IF(J823&lt;=0,"Importo?","✓"))))))</f>
        <v/>
      </c>
      <c r="N823" t="str">
        <f>IF(OR(B823="Acquisto",B823="Vendita"),COUNTIFS($C$5:C823,C823,$B$5:B823,"Acquisto")+COUNTIFS($C$5:C823,C823,$B$5:B823,"Vendita"),"")</f>
        <v/>
      </c>
      <c r="O823" t="str">
        <f>IF(N823="","",C823&amp;"|"&amp;N823)</f>
        <v/>
      </c>
      <c r="P823" t="str">
        <f>IF(N823="","",IF(N823=1,0,MATCH(C823&amp;"|"&amp;(N823-1),$O$5:$O$1004,0)))</f>
        <v/>
      </c>
      <c r="Q823" t="str">
        <f>IF(N823="","",IF(P823=0,SUMIFS(Calcoli!$C$7:$C$21,Calcoli!$A$7:$A$21,C823),INDEX($S$5:$S$1004,P823)))</f>
        <v/>
      </c>
      <c r="R823" t="str">
        <f>IF(N823="","",IF(P823=0,SUMIFS(Calcoli!$D$7:$D$21,Calcoli!$A$7:$A$21,C823),INDEX($T$5:$T$1004,P823)))</f>
        <v/>
      </c>
      <c r="S823" t="str">
        <f>IF(N823="","",IF(B823="Acquisto",Q823+N(D823),MAX(0,Q823-N(D823))))</f>
        <v/>
      </c>
      <c r="T823" t="str">
        <f>IF(N823="","",IF(B823="Acquisto",R823+J823+N(G823),IF(Q823&lt;=0,0,R823*(1-MIN(1,N(D823)/Q823)))))</f>
        <v/>
      </c>
      <c r="U823" t="str">
        <f>IF(B823&lt;&gt;"Vendita","",J823-N(G823)-IF(Q823&lt;=0,0,R823*MIN(1,N(D823)/Q823)))</f>
        <v/>
      </c>
      <c r="V823" t="str">
        <f>IF(B823&lt;&gt;"Dividendo","",IF(Calcoli!$B$251=1,J823,L823))</f>
        <v/>
      </c>
      <c r="W823" t="str">
        <f>IF(AND(V823&lt;&gt;"",ISNUMBER(A823)),A823,"")</f>
        <v/>
      </c>
    </row>
    <row r="824">
      <c r="A824" s="134" t="n"/>
      <c r="B824" s="116" t="n"/>
      <c r="C824" s="116" t="n"/>
      <c r="D824" s="121" t="n"/>
      <c r="E824" s="120" t="n"/>
      <c r="F824" s="120" t="n"/>
      <c r="G824" s="120" t="n"/>
      <c r="H824" s="120" t="n"/>
      <c r="I824" s="117" t="n"/>
      <c r="J824" s="123" t="str">
        <f>IF(B824="","",IF(F824&lt;&gt;"",N(F824),ROUND(N(D824)*N(E824),2)))</f>
        <v/>
      </c>
      <c r="K824" s="123" t="str">
        <f>IF(B824="","",IF(H824&lt;&gt;"",N(H824),IF(B824="Dividendo",ROUND(J824*IFERROR(INDEX(Calcoli!$V$7:$V$21,MATCH(C824,Calcoli!$A$7:$A$21,0)),0.26),2),IF(B824="Vendita",ROUND(MAX(0,U824)*IFERROR(INDEX(Calcoli!$V$7:$V$21,MATCH(C824,Calcoli!$A$7:$A$21,0)),0.26),2),0))))</f>
        <v/>
      </c>
      <c r="L824" s="135" t="str">
        <f>IF(B824="","",IF(B824="Acquisto",-(J824+N(G824)),J824-N(G824)-K824))</f>
        <v/>
      </c>
      <c r="M824" s="127" t="str">
        <f>IF(B824="","",IF(ISNA(MATCH(C824,ETF!$A$7:$A$21,0)),"ETF?",IF(NOT(ISNUMBER(A824)),"Data?",IF(AND(B824&lt;&gt;"Dividendo",N(D824)&lt;=0),"Quote?",IF(AND(B824="Vendita",N(D824)&gt;N(Q824)+0.000001),"Quote?",IF(J824&lt;=0,"Importo?","✓"))))))</f>
        <v/>
      </c>
      <c r="N824" t="str">
        <f>IF(OR(B824="Acquisto",B824="Vendita"),COUNTIFS($C$5:C824,C824,$B$5:B824,"Acquisto")+COUNTIFS($C$5:C824,C824,$B$5:B824,"Vendita"),"")</f>
        <v/>
      </c>
      <c r="O824" t="str">
        <f>IF(N824="","",C824&amp;"|"&amp;N824)</f>
        <v/>
      </c>
      <c r="P824" t="str">
        <f>IF(N824="","",IF(N824=1,0,MATCH(C824&amp;"|"&amp;(N824-1),$O$5:$O$1004,0)))</f>
        <v/>
      </c>
      <c r="Q824" t="str">
        <f>IF(N824="","",IF(P824=0,SUMIFS(Calcoli!$C$7:$C$21,Calcoli!$A$7:$A$21,C824),INDEX($S$5:$S$1004,P824)))</f>
        <v/>
      </c>
      <c r="R824" t="str">
        <f>IF(N824="","",IF(P824=0,SUMIFS(Calcoli!$D$7:$D$21,Calcoli!$A$7:$A$21,C824),INDEX($T$5:$T$1004,P824)))</f>
        <v/>
      </c>
      <c r="S824" t="str">
        <f>IF(N824="","",IF(B824="Acquisto",Q824+N(D824),MAX(0,Q824-N(D824))))</f>
        <v/>
      </c>
      <c r="T824" t="str">
        <f>IF(N824="","",IF(B824="Acquisto",R824+J824+N(G824),IF(Q824&lt;=0,0,R824*(1-MIN(1,N(D824)/Q824)))))</f>
        <v/>
      </c>
      <c r="U824" t="str">
        <f>IF(B824&lt;&gt;"Vendita","",J824-N(G824)-IF(Q824&lt;=0,0,R824*MIN(1,N(D824)/Q824)))</f>
        <v/>
      </c>
      <c r="V824" t="str">
        <f>IF(B824&lt;&gt;"Dividendo","",IF(Calcoli!$B$251=1,J824,L824))</f>
        <v/>
      </c>
      <c r="W824" t="str">
        <f>IF(AND(V824&lt;&gt;"",ISNUMBER(A824)),A824,"")</f>
        <v/>
      </c>
    </row>
    <row r="825">
      <c r="A825" s="134" t="n"/>
      <c r="B825" s="116" t="n"/>
      <c r="C825" s="116" t="n"/>
      <c r="D825" s="121" t="n"/>
      <c r="E825" s="120" t="n"/>
      <c r="F825" s="120" t="n"/>
      <c r="G825" s="120" t="n"/>
      <c r="H825" s="120" t="n"/>
      <c r="I825" s="117" t="n"/>
      <c r="J825" s="123" t="str">
        <f>IF(B825="","",IF(F825&lt;&gt;"",N(F825),ROUND(N(D825)*N(E825),2)))</f>
        <v/>
      </c>
      <c r="K825" s="123" t="str">
        <f>IF(B825="","",IF(H825&lt;&gt;"",N(H825),IF(B825="Dividendo",ROUND(J825*IFERROR(INDEX(Calcoli!$V$7:$V$21,MATCH(C825,Calcoli!$A$7:$A$21,0)),0.26),2),IF(B825="Vendita",ROUND(MAX(0,U825)*IFERROR(INDEX(Calcoli!$V$7:$V$21,MATCH(C825,Calcoli!$A$7:$A$21,0)),0.26),2),0))))</f>
        <v/>
      </c>
      <c r="L825" s="135" t="str">
        <f>IF(B825="","",IF(B825="Acquisto",-(J825+N(G825)),J825-N(G825)-K825))</f>
        <v/>
      </c>
      <c r="M825" s="127" t="str">
        <f>IF(B825="","",IF(ISNA(MATCH(C825,ETF!$A$7:$A$21,0)),"ETF?",IF(NOT(ISNUMBER(A825)),"Data?",IF(AND(B825&lt;&gt;"Dividendo",N(D825)&lt;=0),"Quote?",IF(AND(B825="Vendita",N(D825)&gt;N(Q825)+0.000001),"Quote?",IF(J825&lt;=0,"Importo?","✓"))))))</f>
        <v/>
      </c>
      <c r="N825" t="str">
        <f>IF(OR(B825="Acquisto",B825="Vendita"),COUNTIFS($C$5:C825,C825,$B$5:B825,"Acquisto")+COUNTIFS($C$5:C825,C825,$B$5:B825,"Vendita"),"")</f>
        <v/>
      </c>
      <c r="O825" t="str">
        <f>IF(N825="","",C825&amp;"|"&amp;N825)</f>
        <v/>
      </c>
      <c r="P825" t="str">
        <f>IF(N825="","",IF(N825=1,0,MATCH(C825&amp;"|"&amp;(N825-1),$O$5:$O$1004,0)))</f>
        <v/>
      </c>
      <c r="Q825" t="str">
        <f>IF(N825="","",IF(P825=0,SUMIFS(Calcoli!$C$7:$C$21,Calcoli!$A$7:$A$21,C825),INDEX($S$5:$S$1004,P825)))</f>
        <v/>
      </c>
      <c r="R825" t="str">
        <f>IF(N825="","",IF(P825=0,SUMIFS(Calcoli!$D$7:$D$21,Calcoli!$A$7:$A$21,C825),INDEX($T$5:$T$1004,P825)))</f>
        <v/>
      </c>
      <c r="S825" t="str">
        <f>IF(N825="","",IF(B825="Acquisto",Q825+N(D825),MAX(0,Q825-N(D825))))</f>
        <v/>
      </c>
      <c r="T825" t="str">
        <f>IF(N825="","",IF(B825="Acquisto",R825+J825+N(G825),IF(Q825&lt;=0,0,R825*(1-MIN(1,N(D825)/Q825)))))</f>
        <v/>
      </c>
      <c r="U825" t="str">
        <f>IF(B825&lt;&gt;"Vendita","",J825-N(G825)-IF(Q825&lt;=0,0,R825*MIN(1,N(D825)/Q825)))</f>
        <v/>
      </c>
      <c r="V825" t="str">
        <f>IF(B825&lt;&gt;"Dividendo","",IF(Calcoli!$B$251=1,J825,L825))</f>
        <v/>
      </c>
      <c r="W825" t="str">
        <f>IF(AND(V825&lt;&gt;"",ISNUMBER(A825)),A825,"")</f>
        <v/>
      </c>
    </row>
    <row r="826">
      <c r="A826" s="134" t="n"/>
      <c r="B826" s="116" t="n"/>
      <c r="C826" s="116" t="n"/>
      <c r="D826" s="121" t="n"/>
      <c r="E826" s="120" t="n"/>
      <c r="F826" s="120" t="n"/>
      <c r="G826" s="120" t="n"/>
      <c r="H826" s="120" t="n"/>
      <c r="I826" s="117" t="n"/>
      <c r="J826" s="123" t="str">
        <f>IF(B826="","",IF(F826&lt;&gt;"",N(F826),ROUND(N(D826)*N(E826),2)))</f>
        <v/>
      </c>
      <c r="K826" s="123" t="str">
        <f>IF(B826="","",IF(H826&lt;&gt;"",N(H826),IF(B826="Dividendo",ROUND(J826*IFERROR(INDEX(Calcoli!$V$7:$V$21,MATCH(C826,Calcoli!$A$7:$A$21,0)),0.26),2),IF(B826="Vendita",ROUND(MAX(0,U826)*IFERROR(INDEX(Calcoli!$V$7:$V$21,MATCH(C826,Calcoli!$A$7:$A$21,0)),0.26),2),0))))</f>
        <v/>
      </c>
      <c r="L826" s="135" t="str">
        <f>IF(B826="","",IF(B826="Acquisto",-(J826+N(G826)),J826-N(G826)-K826))</f>
        <v/>
      </c>
      <c r="M826" s="127" t="str">
        <f>IF(B826="","",IF(ISNA(MATCH(C826,ETF!$A$7:$A$21,0)),"ETF?",IF(NOT(ISNUMBER(A826)),"Data?",IF(AND(B826&lt;&gt;"Dividendo",N(D826)&lt;=0),"Quote?",IF(AND(B826="Vendita",N(D826)&gt;N(Q826)+0.000001),"Quote?",IF(J826&lt;=0,"Importo?","✓"))))))</f>
        <v/>
      </c>
      <c r="N826" t="str">
        <f>IF(OR(B826="Acquisto",B826="Vendita"),COUNTIFS($C$5:C826,C826,$B$5:B826,"Acquisto")+COUNTIFS($C$5:C826,C826,$B$5:B826,"Vendita"),"")</f>
        <v/>
      </c>
      <c r="O826" t="str">
        <f>IF(N826="","",C826&amp;"|"&amp;N826)</f>
        <v/>
      </c>
      <c r="P826" t="str">
        <f>IF(N826="","",IF(N826=1,0,MATCH(C826&amp;"|"&amp;(N826-1),$O$5:$O$1004,0)))</f>
        <v/>
      </c>
      <c r="Q826" t="str">
        <f>IF(N826="","",IF(P826=0,SUMIFS(Calcoli!$C$7:$C$21,Calcoli!$A$7:$A$21,C826),INDEX($S$5:$S$1004,P826)))</f>
        <v/>
      </c>
      <c r="R826" t="str">
        <f>IF(N826="","",IF(P826=0,SUMIFS(Calcoli!$D$7:$D$21,Calcoli!$A$7:$A$21,C826),INDEX($T$5:$T$1004,P826)))</f>
        <v/>
      </c>
      <c r="S826" t="str">
        <f>IF(N826="","",IF(B826="Acquisto",Q826+N(D826),MAX(0,Q826-N(D826))))</f>
        <v/>
      </c>
      <c r="T826" t="str">
        <f>IF(N826="","",IF(B826="Acquisto",R826+J826+N(G826),IF(Q826&lt;=0,0,R826*(1-MIN(1,N(D826)/Q826)))))</f>
        <v/>
      </c>
      <c r="U826" t="str">
        <f>IF(B826&lt;&gt;"Vendita","",J826-N(G826)-IF(Q826&lt;=0,0,R826*MIN(1,N(D826)/Q826)))</f>
        <v/>
      </c>
      <c r="V826" t="str">
        <f>IF(B826&lt;&gt;"Dividendo","",IF(Calcoli!$B$251=1,J826,L826))</f>
        <v/>
      </c>
      <c r="W826" t="str">
        <f>IF(AND(V826&lt;&gt;"",ISNUMBER(A826)),A826,"")</f>
        <v/>
      </c>
    </row>
    <row r="827">
      <c r="A827" s="134" t="n"/>
      <c r="B827" s="116" t="n"/>
      <c r="C827" s="116" t="n"/>
      <c r="D827" s="121" t="n"/>
      <c r="E827" s="120" t="n"/>
      <c r="F827" s="120" t="n"/>
      <c r="G827" s="120" t="n"/>
      <c r="H827" s="120" t="n"/>
      <c r="I827" s="117" t="n"/>
      <c r="J827" s="123" t="str">
        <f>IF(B827="","",IF(F827&lt;&gt;"",N(F827),ROUND(N(D827)*N(E827),2)))</f>
        <v/>
      </c>
      <c r="K827" s="123" t="str">
        <f>IF(B827="","",IF(H827&lt;&gt;"",N(H827),IF(B827="Dividendo",ROUND(J827*IFERROR(INDEX(Calcoli!$V$7:$V$21,MATCH(C827,Calcoli!$A$7:$A$21,0)),0.26),2),IF(B827="Vendita",ROUND(MAX(0,U827)*IFERROR(INDEX(Calcoli!$V$7:$V$21,MATCH(C827,Calcoli!$A$7:$A$21,0)),0.26),2),0))))</f>
        <v/>
      </c>
      <c r="L827" s="135" t="str">
        <f>IF(B827="","",IF(B827="Acquisto",-(J827+N(G827)),J827-N(G827)-K827))</f>
        <v/>
      </c>
      <c r="M827" s="127" t="str">
        <f>IF(B827="","",IF(ISNA(MATCH(C827,ETF!$A$7:$A$21,0)),"ETF?",IF(NOT(ISNUMBER(A827)),"Data?",IF(AND(B827&lt;&gt;"Dividendo",N(D827)&lt;=0),"Quote?",IF(AND(B827="Vendita",N(D827)&gt;N(Q827)+0.000001),"Quote?",IF(J827&lt;=0,"Importo?","✓"))))))</f>
        <v/>
      </c>
      <c r="N827" t="str">
        <f>IF(OR(B827="Acquisto",B827="Vendita"),COUNTIFS($C$5:C827,C827,$B$5:B827,"Acquisto")+COUNTIFS($C$5:C827,C827,$B$5:B827,"Vendita"),"")</f>
        <v/>
      </c>
      <c r="O827" t="str">
        <f>IF(N827="","",C827&amp;"|"&amp;N827)</f>
        <v/>
      </c>
      <c r="P827" t="str">
        <f>IF(N827="","",IF(N827=1,0,MATCH(C827&amp;"|"&amp;(N827-1),$O$5:$O$1004,0)))</f>
        <v/>
      </c>
      <c r="Q827" t="str">
        <f>IF(N827="","",IF(P827=0,SUMIFS(Calcoli!$C$7:$C$21,Calcoli!$A$7:$A$21,C827),INDEX($S$5:$S$1004,P827)))</f>
        <v/>
      </c>
      <c r="R827" t="str">
        <f>IF(N827="","",IF(P827=0,SUMIFS(Calcoli!$D$7:$D$21,Calcoli!$A$7:$A$21,C827),INDEX($T$5:$T$1004,P827)))</f>
        <v/>
      </c>
      <c r="S827" t="str">
        <f>IF(N827="","",IF(B827="Acquisto",Q827+N(D827),MAX(0,Q827-N(D827))))</f>
        <v/>
      </c>
      <c r="T827" t="str">
        <f>IF(N827="","",IF(B827="Acquisto",R827+J827+N(G827),IF(Q827&lt;=0,0,R827*(1-MIN(1,N(D827)/Q827)))))</f>
        <v/>
      </c>
      <c r="U827" t="str">
        <f>IF(B827&lt;&gt;"Vendita","",J827-N(G827)-IF(Q827&lt;=0,0,R827*MIN(1,N(D827)/Q827)))</f>
        <v/>
      </c>
      <c r="V827" t="str">
        <f>IF(B827&lt;&gt;"Dividendo","",IF(Calcoli!$B$251=1,J827,L827))</f>
        <v/>
      </c>
      <c r="W827" t="str">
        <f>IF(AND(V827&lt;&gt;"",ISNUMBER(A827)),A827,"")</f>
        <v/>
      </c>
    </row>
    <row r="828">
      <c r="A828" s="134" t="n"/>
      <c r="B828" s="116" t="n"/>
      <c r="C828" s="116" t="n"/>
      <c r="D828" s="121" t="n"/>
      <c r="E828" s="120" t="n"/>
      <c r="F828" s="120" t="n"/>
      <c r="G828" s="120" t="n"/>
      <c r="H828" s="120" t="n"/>
      <c r="I828" s="117" t="n"/>
      <c r="J828" s="123" t="str">
        <f>IF(B828="","",IF(F828&lt;&gt;"",N(F828),ROUND(N(D828)*N(E828),2)))</f>
        <v/>
      </c>
      <c r="K828" s="123" t="str">
        <f>IF(B828="","",IF(H828&lt;&gt;"",N(H828),IF(B828="Dividendo",ROUND(J828*IFERROR(INDEX(Calcoli!$V$7:$V$21,MATCH(C828,Calcoli!$A$7:$A$21,0)),0.26),2),IF(B828="Vendita",ROUND(MAX(0,U828)*IFERROR(INDEX(Calcoli!$V$7:$V$21,MATCH(C828,Calcoli!$A$7:$A$21,0)),0.26),2),0))))</f>
        <v/>
      </c>
      <c r="L828" s="135" t="str">
        <f>IF(B828="","",IF(B828="Acquisto",-(J828+N(G828)),J828-N(G828)-K828))</f>
        <v/>
      </c>
      <c r="M828" s="127" t="str">
        <f>IF(B828="","",IF(ISNA(MATCH(C828,ETF!$A$7:$A$21,0)),"ETF?",IF(NOT(ISNUMBER(A828)),"Data?",IF(AND(B828&lt;&gt;"Dividendo",N(D828)&lt;=0),"Quote?",IF(AND(B828="Vendita",N(D828)&gt;N(Q828)+0.000001),"Quote?",IF(J828&lt;=0,"Importo?","✓"))))))</f>
        <v/>
      </c>
      <c r="N828" t="str">
        <f>IF(OR(B828="Acquisto",B828="Vendita"),COUNTIFS($C$5:C828,C828,$B$5:B828,"Acquisto")+COUNTIFS($C$5:C828,C828,$B$5:B828,"Vendita"),"")</f>
        <v/>
      </c>
      <c r="O828" t="str">
        <f>IF(N828="","",C828&amp;"|"&amp;N828)</f>
        <v/>
      </c>
      <c r="P828" t="str">
        <f>IF(N828="","",IF(N828=1,0,MATCH(C828&amp;"|"&amp;(N828-1),$O$5:$O$1004,0)))</f>
        <v/>
      </c>
      <c r="Q828" t="str">
        <f>IF(N828="","",IF(P828=0,SUMIFS(Calcoli!$C$7:$C$21,Calcoli!$A$7:$A$21,C828),INDEX($S$5:$S$1004,P828)))</f>
        <v/>
      </c>
      <c r="R828" t="str">
        <f>IF(N828="","",IF(P828=0,SUMIFS(Calcoli!$D$7:$D$21,Calcoli!$A$7:$A$21,C828),INDEX($T$5:$T$1004,P828)))</f>
        <v/>
      </c>
      <c r="S828" t="str">
        <f>IF(N828="","",IF(B828="Acquisto",Q828+N(D828),MAX(0,Q828-N(D828))))</f>
        <v/>
      </c>
      <c r="T828" t="str">
        <f>IF(N828="","",IF(B828="Acquisto",R828+J828+N(G828),IF(Q828&lt;=0,0,R828*(1-MIN(1,N(D828)/Q828)))))</f>
        <v/>
      </c>
      <c r="U828" t="str">
        <f>IF(B828&lt;&gt;"Vendita","",J828-N(G828)-IF(Q828&lt;=0,0,R828*MIN(1,N(D828)/Q828)))</f>
        <v/>
      </c>
      <c r="V828" t="str">
        <f>IF(B828&lt;&gt;"Dividendo","",IF(Calcoli!$B$251=1,J828,L828))</f>
        <v/>
      </c>
      <c r="W828" t="str">
        <f>IF(AND(V828&lt;&gt;"",ISNUMBER(A828)),A828,"")</f>
        <v/>
      </c>
    </row>
    <row r="829">
      <c r="A829" s="134" t="n"/>
      <c r="B829" s="116" t="n"/>
      <c r="C829" s="116" t="n"/>
      <c r="D829" s="121" t="n"/>
      <c r="E829" s="120" t="n"/>
      <c r="F829" s="120" t="n"/>
      <c r="G829" s="120" t="n"/>
      <c r="H829" s="120" t="n"/>
      <c r="I829" s="117" t="n"/>
      <c r="J829" s="123" t="str">
        <f>IF(B829="","",IF(F829&lt;&gt;"",N(F829),ROUND(N(D829)*N(E829),2)))</f>
        <v/>
      </c>
      <c r="K829" s="123" t="str">
        <f>IF(B829="","",IF(H829&lt;&gt;"",N(H829),IF(B829="Dividendo",ROUND(J829*IFERROR(INDEX(Calcoli!$V$7:$V$21,MATCH(C829,Calcoli!$A$7:$A$21,0)),0.26),2),IF(B829="Vendita",ROUND(MAX(0,U829)*IFERROR(INDEX(Calcoli!$V$7:$V$21,MATCH(C829,Calcoli!$A$7:$A$21,0)),0.26),2),0))))</f>
        <v/>
      </c>
      <c r="L829" s="135" t="str">
        <f>IF(B829="","",IF(B829="Acquisto",-(J829+N(G829)),J829-N(G829)-K829))</f>
        <v/>
      </c>
      <c r="M829" s="127" t="str">
        <f>IF(B829="","",IF(ISNA(MATCH(C829,ETF!$A$7:$A$21,0)),"ETF?",IF(NOT(ISNUMBER(A829)),"Data?",IF(AND(B829&lt;&gt;"Dividendo",N(D829)&lt;=0),"Quote?",IF(AND(B829="Vendita",N(D829)&gt;N(Q829)+0.000001),"Quote?",IF(J829&lt;=0,"Importo?","✓"))))))</f>
        <v/>
      </c>
      <c r="N829" t="str">
        <f>IF(OR(B829="Acquisto",B829="Vendita"),COUNTIFS($C$5:C829,C829,$B$5:B829,"Acquisto")+COUNTIFS($C$5:C829,C829,$B$5:B829,"Vendita"),"")</f>
        <v/>
      </c>
      <c r="O829" t="str">
        <f>IF(N829="","",C829&amp;"|"&amp;N829)</f>
        <v/>
      </c>
      <c r="P829" t="str">
        <f>IF(N829="","",IF(N829=1,0,MATCH(C829&amp;"|"&amp;(N829-1),$O$5:$O$1004,0)))</f>
        <v/>
      </c>
      <c r="Q829" t="str">
        <f>IF(N829="","",IF(P829=0,SUMIFS(Calcoli!$C$7:$C$21,Calcoli!$A$7:$A$21,C829),INDEX($S$5:$S$1004,P829)))</f>
        <v/>
      </c>
      <c r="R829" t="str">
        <f>IF(N829="","",IF(P829=0,SUMIFS(Calcoli!$D$7:$D$21,Calcoli!$A$7:$A$21,C829),INDEX($T$5:$T$1004,P829)))</f>
        <v/>
      </c>
      <c r="S829" t="str">
        <f>IF(N829="","",IF(B829="Acquisto",Q829+N(D829),MAX(0,Q829-N(D829))))</f>
        <v/>
      </c>
      <c r="T829" t="str">
        <f>IF(N829="","",IF(B829="Acquisto",R829+J829+N(G829),IF(Q829&lt;=0,0,R829*(1-MIN(1,N(D829)/Q829)))))</f>
        <v/>
      </c>
      <c r="U829" t="str">
        <f>IF(B829&lt;&gt;"Vendita","",J829-N(G829)-IF(Q829&lt;=0,0,R829*MIN(1,N(D829)/Q829)))</f>
        <v/>
      </c>
      <c r="V829" t="str">
        <f>IF(B829&lt;&gt;"Dividendo","",IF(Calcoli!$B$251=1,J829,L829))</f>
        <v/>
      </c>
      <c r="W829" t="str">
        <f>IF(AND(V829&lt;&gt;"",ISNUMBER(A829)),A829,"")</f>
        <v/>
      </c>
    </row>
    <row r="830">
      <c r="A830" s="134" t="n"/>
      <c r="B830" s="116" t="n"/>
      <c r="C830" s="116" t="n"/>
      <c r="D830" s="121" t="n"/>
      <c r="E830" s="120" t="n"/>
      <c r="F830" s="120" t="n"/>
      <c r="G830" s="120" t="n"/>
      <c r="H830" s="120" t="n"/>
      <c r="I830" s="117" t="n"/>
      <c r="J830" s="123" t="str">
        <f>IF(B830="","",IF(F830&lt;&gt;"",N(F830),ROUND(N(D830)*N(E830),2)))</f>
        <v/>
      </c>
      <c r="K830" s="123" t="str">
        <f>IF(B830="","",IF(H830&lt;&gt;"",N(H830),IF(B830="Dividendo",ROUND(J830*IFERROR(INDEX(Calcoli!$V$7:$V$21,MATCH(C830,Calcoli!$A$7:$A$21,0)),0.26),2),IF(B830="Vendita",ROUND(MAX(0,U830)*IFERROR(INDEX(Calcoli!$V$7:$V$21,MATCH(C830,Calcoli!$A$7:$A$21,0)),0.26),2),0))))</f>
        <v/>
      </c>
      <c r="L830" s="135" t="str">
        <f>IF(B830="","",IF(B830="Acquisto",-(J830+N(G830)),J830-N(G830)-K830))</f>
        <v/>
      </c>
      <c r="M830" s="127" t="str">
        <f>IF(B830="","",IF(ISNA(MATCH(C830,ETF!$A$7:$A$21,0)),"ETF?",IF(NOT(ISNUMBER(A830)),"Data?",IF(AND(B830&lt;&gt;"Dividendo",N(D830)&lt;=0),"Quote?",IF(AND(B830="Vendita",N(D830)&gt;N(Q830)+0.000001),"Quote?",IF(J830&lt;=0,"Importo?","✓"))))))</f>
        <v/>
      </c>
      <c r="N830" t="str">
        <f>IF(OR(B830="Acquisto",B830="Vendita"),COUNTIFS($C$5:C830,C830,$B$5:B830,"Acquisto")+COUNTIFS($C$5:C830,C830,$B$5:B830,"Vendita"),"")</f>
        <v/>
      </c>
      <c r="O830" t="str">
        <f>IF(N830="","",C830&amp;"|"&amp;N830)</f>
        <v/>
      </c>
      <c r="P830" t="str">
        <f>IF(N830="","",IF(N830=1,0,MATCH(C830&amp;"|"&amp;(N830-1),$O$5:$O$1004,0)))</f>
        <v/>
      </c>
      <c r="Q830" t="str">
        <f>IF(N830="","",IF(P830=0,SUMIFS(Calcoli!$C$7:$C$21,Calcoli!$A$7:$A$21,C830),INDEX($S$5:$S$1004,P830)))</f>
        <v/>
      </c>
      <c r="R830" t="str">
        <f>IF(N830="","",IF(P830=0,SUMIFS(Calcoli!$D$7:$D$21,Calcoli!$A$7:$A$21,C830),INDEX($T$5:$T$1004,P830)))</f>
        <v/>
      </c>
      <c r="S830" t="str">
        <f>IF(N830="","",IF(B830="Acquisto",Q830+N(D830),MAX(0,Q830-N(D830))))</f>
        <v/>
      </c>
      <c r="T830" t="str">
        <f>IF(N830="","",IF(B830="Acquisto",R830+J830+N(G830),IF(Q830&lt;=0,0,R830*(1-MIN(1,N(D830)/Q830)))))</f>
        <v/>
      </c>
      <c r="U830" t="str">
        <f>IF(B830&lt;&gt;"Vendita","",J830-N(G830)-IF(Q830&lt;=0,0,R830*MIN(1,N(D830)/Q830)))</f>
        <v/>
      </c>
      <c r="V830" t="str">
        <f>IF(B830&lt;&gt;"Dividendo","",IF(Calcoli!$B$251=1,J830,L830))</f>
        <v/>
      </c>
      <c r="W830" t="str">
        <f>IF(AND(V830&lt;&gt;"",ISNUMBER(A830)),A830,"")</f>
        <v/>
      </c>
    </row>
    <row r="831">
      <c r="A831" s="134" t="n"/>
      <c r="B831" s="116" t="n"/>
      <c r="C831" s="116" t="n"/>
      <c r="D831" s="121" t="n"/>
      <c r="E831" s="120" t="n"/>
      <c r="F831" s="120" t="n"/>
      <c r="G831" s="120" t="n"/>
      <c r="H831" s="120" t="n"/>
      <c r="I831" s="117" t="n"/>
      <c r="J831" s="123" t="str">
        <f>IF(B831="","",IF(F831&lt;&gt;"",N(F831),ROUND(N(D831)*N(E831),2)))</f>
        <v/>
      </c>
      <c r="K831" s="123" t="str">
        <f>IF(B831="","",IF(H831&lt;&gt;"",N(H831),IF(B831="Dividendo",ROUND(J831*IFERROR(INDEX(Calcoli!$V$7:$V$21,MATCH(C831,Calcoli!$A$7:$A$21,0)),0.26),2),IF(B831="Vendita",ROUND(MAX(0,U831)*IFERROR(INDEX(Calcoli!$V$7:$V$21,MATCH(C831,Calcoli!$A$7:$A$21,0)),0.26),2),0))))</f>
        <v/>
      </c>
      <c r="L831" s="135" t="str">
        <f>IF(B831="","",IF(B831="Acquisto",-(J831+N(G831)),J831-N(G831)-K831))</f>
        <v/>
      </c>
      <c r="M831" s="127" t="str">
        <f>IF(B831="","",IF(ISNA(MATCH(C831,ETF!$A$7:$A$21,0)),"ETF?",IF(NOT(ISNUMBER(A831)),"Data?",IF(AND(B831&lt;&gt;"Dividendo",N(D831)&lt;=0),"Quote?",IF(AND(B831="Vendita",N(D831)&gt;N(Q831)+0.000001),"Quote?",IF(J831&lt;=0,"Importo?","✓"))))))</f>
        <v/>
      </c>
      <c r="N831" t="str">
        <f>IF(OR(B831="Acquisto",B831="Vendita"),COUNTIFS($C$5:C831,C831,$B$5:B831,"Acquisto")+COUNTIFS($C$5:C831,C831,$B$5:B831,"Vendita"),"")</f>
        <v/>
      </c>
      <c r="O831" t="str">
        <f>IF(N831="","",C831&amp;"|"&amp;N831)</f>
        <v/>
      </c>
      <c r="P831" t="str">
        <f>IF(N831="","",IF(N831=1,0,MATCH(C831&amp;"|"&amp;(N831-1),$O$5:$O$1004,0)))</f>
        <v/>
      </c>
      <c r="Q831" t="str">
        <f>IF(N831="","",IF(P831=0,SUMIFS(Calcoli!$C$7:$C$21,Calcoli!$A$7:$A$21,C831),INDEX($S$5:$S$1004,P831)))</f>
        <v/>
      </c>
      <c r="R831" t="str">
        <f>IF(N831="","",IF(P831=0,SUMIFS(Calcoli!$D$7:$D$21,Calcoli!$A$7:$A$21,C831),INDEX($T$5:$T$1004,P831)))</f>
        <v/>
      </c>
      <c r="S831" t="str">
        <f>IF(N831="","",IF(B831="Acquisto",Q831+N(D831),MAX(0,Q831-N(D831))))</f>
        <v/>
      </c>
      <c r="T831" t="str">
        <f>IF(N831="","",IF(B831="Acquisto",R831+J831+N(G831),IF(Q831&lt;=0,0,R831*(1-MIN(1,N(D831)/Q831)))))</f>
        <v/>
      </c>
      <c r="U831" t="str">
        <f>IF(B831&lt;&gt;"Vendita","",J831-N(G831)-IF(Q831&lt;=0,0,R831*MIN(1,N(D831)/Q831)))</f>
        <v/>
      </c>
      <c r="V831" t="str">
        <f>IF(B831&lt;&gt;"Dividendo","",IF(Calcoli!$B$251=1,J831,L831))</f>
        <v/>
      </c>
      <c r="W831" t="str">
        <f>IF(AND(V831&lt;&gt;"",ISNUMBER(A831)),A831,"")</f>
        <v/>
      </c>
    </row>
    <row r="832">
      <c r="A832" s="134" t="n"/>
      <c r="B832" s="116" t="n"/>
      <c r="C832" s="116" t="n"/>
      <c r="D832" s="121" t="n"/>
      <c r="E832" s="120" t="n"/>
      <c r="F832" s="120" t="n"/>
      <c r="G832" s="120" t="n"/>
      <c r="H832" s="120" t="n"/>
      <c r="I832" s="117" t="n"/>
      <c r="J832" s="123" t="str">
        <f>IF(B832="","",IF(F832&lt;&gt;"",N(F832),ROUND(N(D832)*N(E832),2)))</f>
        <v/>
      </c>
      <c r="K832" s="123" t="str">
        <f>IF(B832="","",IF(H832&lt;&gt;"",N(H832),IF(B832="Dividendo",ROUND(J832*IFERROR(INDEX(Calcoli!$V$7:$V$21,MATCH(C832,Calcoli!$A$7:$A$21,0)),0.26),2),IF(B832="Vendita",ROUND(MAX(0,U832)*IFERROR(INDEX(Calcoli!$V$7:$V$21,MATCH(C832,Calcoli!$A$7:$A$21,0)),0.26),2),0))))</f>
        <v/>
      </c>
      <c r="L832" s="135" t="str">
        <f>IF(B832="","",IF(B832="Acquisto",-(J832+N(G832)),J832-N(G832)-K832))</f>
        <v/>
      </c>
      <c r="M832" s="127" t="str">
        <f>IF(B832="","",IF(ISNA(MATCH(C832,ETF!$A$7:$A$21,0)),"ETF?",IF(NOT(ISNUMBER(A832)),"Data?",IF(AND(B832&lt;&gt;"Dividendo",N(D832)&lt;=0),"Quote?",IF(AND(B832="Vendita",N(D832)&gt;N(Q832)+0.000001),"Quote?",IF(J832&lt;=0,"Importo?","✓"))))))</f>
        <v/>
      </c>
      <c r="N832" t="str">
        <f>IF(OR(B832="Acquisto",B832="Vendita"),COUNTIFS($C$5:C832,C832,$B$5:B832,"Acquisto")+COUNTIFS($C$5:C832,C832,$B$5:B832,"Vendita"),"")</f>
        <v/>
      </c>
      <c r="O832" t="str">
        <f>IF(N832="","",C832&amp;"|"&amp;N832)</f>
        <v/>
      </c>
      <c r="P832" t="str">
        <f>IF(N832="","",IF(N832=1,0,MATCH(C832&amp;"|"&amp;(N832-1),$O$5:$O$1004,0)))</f>
        <v/>
      </c>
      <c r="Q832" t="str">
        <f>IF(N832="","",IF(P832=0,SUMIFS(Calcoli!$C$7:$C$21,Calcoli!$A$7:$A$21,C832),INDEX($S$5:$S$1004,P832)))</f>
        <v/>
      </c>
      <c r="R832" t="str">
        <f>IF(N832="","",IF(P832=0,SUMIFS(Calcoli!$D$7:$D$21,Calcoli!$A$7:$A$21,C832),INDEX($T$5:$T$1004,P832)))</f>
        <v/>
      </c>
      <c r="S832" t="str">
        <f>IF(N832="","",IF(B832="Acquisto",Q832+N(D832),MAX(0,Q832-N(D832))))</f>
        <v/>
      </c>
      <c r="T832" t="str">
        <f>IF(N832="","",IF(B832="Acquisto",R832+J832+N(G832),IF(Q832&lt;=0,0,R832*(1-MIN(1,N(D832)/Q832)))))</f>
        <v/>
      </c>
      <c r="U832" t="str">
        <f>IF(B832&lt;&gt;"Vendita","",J832-N(G832)-IF(Q832&lt;=0,0,R832*MIN(1,N(D832)/Q832)))</f>
        <v/>
      </c>
      <c r="V832" t="str">
        <f>IF(B832&lt;&gt;"Dividendo","",IF(Calcoli!$B$251=1,J832,L832))</f>
        <v/>
      </c>
      <c r="W832" t="str">
        <f>IF(AND(V832&lt;&gt;"",ISNUMBER(A832)),A832,"")</f>
        <v/>
      </c>
    </row>
    <row r="833">
      <c r="A833" s="134" t="n"/>
      <c r="B833" s="116" t="n"/>
      <c r="C833" s="116" t="n"/>
      <c r="D833" s="121" t="n"/>
      <c r="E833" s="120" t="n"/>
      <c r="F833" s="120" t="n"/>
      <c r="G833" s="120" t="n"/>
      <c r="H833" s="120" t="n"/>
      <c r="I833" s="117" t="n"/>
      <c r="J833" s="123" t="str">
        <f>IF(B833="","",IF(F833&lt;&gt;"",N(F833),ROUND(N(D833)*N(E833),2)))</f>
        <v/>
      </c>
      <c r="K833" s="123" t="str">
        <f>IF(B833="","",IF(H833&lt;&gt;"",N(H833),IF(B833="Dividendo",ROUND(J833*IFERROR(INDEX(Calcoli!$V$7:$V$21,MATCH(C833,Calcoli!$A$7:$A$21,0)),0.26),2),IF(B833="Vendita",ROUND(MAX(0,U833)*IFERROR(INDEX(Calcoli!$V$7:$V$21,MATCH(C833,Calcoli!$A$7:$A$21,0)),0.26),2),0))))</f>
        <v/>
      </c>
      <c r="L833" s="135" t="str">
        <f>IF(B833="","",IF(B833="Acquisto",-(J833+N(G833)),J833-N(G833)-K833))</f>
        <v/>
      </c>
      <c r="M833" s="127" t="str">
        <f>IF(B833="","",IF(ISNA(MATCH(C833,ETF!$A$7:$A$21,0)),"ETF?",IF(NOT(ISNUMBER(A833)),"Data?",IF(AND(B833&lt;&gt;"Dividendo",N(D833)&lt;=0),"Quote?",IF(AND(B833="Vendita",N(D833)&gt;N(Q833)+0.000001),"Quote?",IF(J833&lt;=0,"Importo?","✓"))))))</f>
        <v/>
      </c>
      <c r="N833" t="str">
        <f>IF(OR(B833="Acquisto",B833="Vendita"),COUNTIFS($C$5:C833,C833,$B$5:B833,"Acquisto")+COUNTIFS($C$5:C833,C833,$B$5:B833,"Vendita"),"")</f>
        <v/>
      </c>
      <c r="O833" t="str">
        <f>IF(N833="","",C833&amp;"|"&amp;N833)</f>
        <v/>
      </c>
      <c r="P833" t="str">
        <f>IF(N833="","",IF(N833=1,0,MATCH(C833&amp;"|"&amp;(N833-1),$O$5:$O$1004,0)))</f>
        <v/>
      </c>
      <c r="Q833" t="str">
        <f>IF(N833="","",IF(P833=0,SUMIFS(Calcoli!$C$7:$C$21,Calcoli!$A$7:$A$21,C833),INDEX($S$5:$S$1004,P833)))</f>
        <v/>
      </c>
      <c r="R833" t="str">
        <f>IF(N833="","",IF(P833=0,SUMIFS(Calcoli!$D$7:$D$21,Calcoli!$A$7:$A$21,C833),INDEX($T$5:$T$1004,P833)))</f>
        <v/>
      </c>
      <c r="S833" t="str">
        <f>IF(N833="","",IF(B833="Acquisto",Q833+N(D833),MAX(0,Q833-N(D833))))</f>
        <v/>
      </c>
      <c r="T833" t="str">
        <f>IF(N833="","",IF(B833="Acquisto",R833+J833+N(G833),IF(Q833&lt;=0,0,R833*(1-MIN(1,N(D833)/Q833)))))</f>
        <v/>
      </c>
      <c r="U833" t="str">
        <f>IF(B833&lt;&gt;"Vendita","",J833-N(G833)-IF(Q833&lt;=0,0,R833*MIN(1,N(D833)/Q833)))</f>
        <v/>
      </c>
      <c r="V833" t="str">
        <f>IF(B833&lt;&gt;"Dividendo","",IF(Calcoli!$B$251=1,J833,L833))</f>
        <v/>
      </c>
      <c r="W833" t="str">
        <f>IF(AND(V833&lt;&gt;"",ISNUMBER(A833)),A833,"")</f>
        <v/>
      </c>
    </row>
    <row r="834">
      <c r="A834" s="134" t="n"/>
      <c r="B834" s="116" t="n"/>
      <c r="C834" s="116" t="n"/>
      <c r="D834" s="121" t="n"/>
      <c r="E834" s="120" t="n"/>
      <c r="F834" s="120" t="n"/>
      <c r="G834" s="120" t="n"/>
      <c r="H834" s="120" t="n"/>
      <c r="I834" s="117" t="n"/>
      <c r="J834" s="123" t="str">
        <f>IF(B834="","",IF(F834&lt;&gt;"",N(F834),ROUND(N(D834)*N(E834),2)))</f>
        <v/>
      </c>
      <c r="K834" s="123" t="str">
        <f>IF(B834="","",IF(H834&lt;&gt;"",N(H834),IF(B834="Dividendo",ROUND(J834*IFERROR(INDEX(Calcoli!$V$7:$V$21,MATCH(C834,Calcoli!$A$7:$A$21,0)),0.26),2),IF(B834="Vendita",ROUND(MAX(0,U834)*IFERROR(INDEX(Calcoli!$V$7:$V$21,MATCH(C834,Calcoli!$A$7:$A$21,0)),0.26),2),0))))</f>
        <v/>
      </c>
      <c r="L834" s="135" t="str">
        <f>IF(B834="","",IF(B834="Acquisto",-(J834+N(G834)),J834-N(G834)-K834))</f>
        <v/>
      </c>
      <c r="M834" s="127" t="str">
        <f>IF(B834="","",IF(ISNA(MATCH(C834,ETF!$A$7:$A$21,0)),"ETF?",IF(NOT(ISNUMBER(A834)),"Data?",IF(AND(B834&lt;&gt;"Dividendo",N(D834)&lt;=0),"Quote?",IF(AND(B834="Vendita",N(D834)&gt;N(Q834)+0.000001),"Quote?",IF(J834&lt;=0,"Importo?","✓"))))))</f>
        <v/>
      </c>
      <c r="N834" t="str">
        <f>IF(OR(B834="Acquisto",B834="Vendita"),COUNTIFS($C$5:C834,C834,$B$5:B834,"Acquisto")+COUNTIFS($C$5:C834,C834,$B$5:B834,"Vendita"),"")</f>
        <v/>
      </c>
      <c r="O834" t="str">
        <f>IF(N834="","",C834&amp;"|"&amp;N834)</f>
        <v/>
      </c>
      <c r="P834" t="str">
        <f>IF(N834="","",IF(N834=1,0,MATCH(C834&amp;"|"&amp;(N834-1),$O$5:$O$1004,0)))</f>
        <v/>
      </c>
      <c r="Q834" t="str">
        <f>IF(N834="","",IF(P834=0,SUMIFS(Calcoli!$C$7:$C$21,Calcoli!$A$7:$A$21,C834),INDEX($S$5:$S$1004,P834)))</f>
        <v/>
      </c>
      <c r="R834" t="str">
        <f>IF(N834="","",IF(P834=0,SUMIFS(Calcoli!$D$7:$D$21,Calcoli!$A$7:$A$21,C834),INDEX($T$5:$T$1004,P834)))</f>
        <v/>
      </c>
      <c r="S834" t="str">
        <f>IF(N834="","",IF(B834="Acquisto",Q834+N(D834),MAX(0,Q834-N(D834))))</f>
        <v/>
      </c>
      <c r="T834" t="str">
        <f>IF(N834="","",IF(B834="Acquisto",R834+J834+N(G834),IF(Q834&lt;=0,0,R834*(1-MIN(1,N(D834)/Q834)))))</f>
        <v/>
      </c>
      <c r="U834" t="str">
        <f>IF(B834&lt;&gt;"Vendita","",J834-N(G834)-IF(Q834&lt;=0,0,R834*MIN(1,N(D834)/Q834)))</f>
        <v/>
      </c>
      <c r="V834" t="str">
        <f>IF(B834&lt;&gt;"Dividendo","",IF(Calcoli!$B$251=1,J834,L834))</f>
        <v/>
      </c>
      <c r="W834" t="str">
        <f>IF(AND(V834&lt;&gt;"",ISNUMBER(A834)),A834,"")</f>
        <v/>
      </c>
    </row>
    <row r="835">
      <c r="A835" s="134" t="n"/>
      <c r="B835" s="116" t="n"/>
      <c r="C835" s="116" t="n"/>
      <c r="D835" s="121" t="n"/>
      <c r="E835" s="120" t="n"/>
      <c r="F835" s="120" t="n"/>
      <c r="G835" s="120" t="n"/>
      <c r="H835" s="120" t="n"/>
      <c r="I835" s="117" t="n"/>
      <c r="J835" s="123" t="str">
        <f>IF(B835="","",IF(F835&lt;&gt;"",N(F835),ROUND(N(D835)*N(E835),2)))</f>
        <v/>
      </c>
      <c r="K835" s="123" t="str">
        <f>IF(B835="","",IF(H835&lt;&gt;"",N(H835),IF(B835="Dividendo",ROUND(J835*IFERROR(INDEX(Calcoli!$V$7:$V$21,MATCH(C835,Calcoli!$A$7:$A$21,0)),0.26),2),IF(B835="Vendita",ROUND(MAX(0,U835)*IFERROR(INDEX(Calcoli!$V$7:$V$21,MATCH(C835,Calcoli!$A$7:$A$21,0)),0.26),2),0))))</f>
        <v/>
      </c>
      <c r="L835" s="135" t="str">
        <f>IF(B835="","",IF(B835="Acquisto",-(J835+N(G835)),J835-N(G835)-K835))</f>
        <v/>
      </c>
      <c r="M835" s="127" t="str">
        <f>IF(B835="","",IF(ISNA(MATCH(C835,ETF!$A$7:$A$21,0)),"ETF?",IF(NOT(ISNUMBER(A835)),"Data?",IF(AND(B835&lt;&gt;"Dividendo",N(D835)&lt;=0),"Quote?",IF(AND(B835="Vendita",N(D835)&gt;N(Q835)+0.000001),"Quote?",IF(J835&lt;=0,"Importo?","✓"))))))</f>
        <v/>
      </c>
      <c r="N835" t="str">
        <f>IF(OR(B835="Acquisto",B835="Vendita"),COUNTIFS($C$5:C835,C835,$B$5:B835,"Acquisto")+COUNTIFS($C$5:C835,C835,$B$5:B835,"Vendita"),"")</f>
        <v/>
      </c>
      <c r="O835" t="str">
        <f>IF(N835="","",C835&amp;"|"&amp;N835)</f>
        <v/>
      </c>
      <c r="P835" t="str">
        <f>IF(N835="","",IF(N835=1,0,MATCH(C835&amp;"|"&amp;(N835-1),$O$5:$O$1004,0)))</f>
        <v/>
      </c>
      <c r="Q835" t="str">
        <f>IF(N835="","",IF(P835=0,SUMIFS(Calcoli!$C$7:$C$21,Calcoli!$A$7:$A$21,C835),INDEX($S$5:$S$1004,P835)))</f>
        <v/>
      </c>
      <c r="R835" t="str">
        <f>IF(N835="","",IF(P835=0,SUMIFS(Calcoli!$D$7:$D$21,Calcoli!$A$7:$A$21,C835),INDEX($T$5:$T$1004,P835)))</f>
        <v/>
      </c>
      <c r="S835" t="str">
        <f>IF(N835="","",IF(B835="Acquisto",Q835+N(D835),MAX(0,Q835-N(D835))))</f>
        <v/>
      </c>
      <c r="T835" t="str">
        <f>IF(N835="","",IF(B835="Acquisto",R835+J835+N(G835),IF(Q835&lt;=0,0,R835*(1-MIN(1,N(D835)/Q835)))))</f>
        <v/>
      </c>
      <c r="U835" t="str">
        <f>IF(B835&lt;&gt;"Vendita","",J835-N(G835)-IF(Q835&lt;=0,0,R835*MIN(1,N(D835)/Q835)))</f>
        <v/>
      </c>
      <c r="V835" t="str">
        <f>IF(B835&lt;&gt;"Dividendo","",IF(Calcoli!$B$251=1,J835,L835))</f>
        <v/>
      </c>
      <c r="W835" t="str">
        <f>IF(AND(V835&lt;&gt;"",ISNUMBER(A835)),A835,"")</f>
        <v/>
      </c>
    </row>
    <row r="836">
      <c r="A836" s="134" t="n"/>
      <c r="B836" s="116" t="n"/>
      <c r="C836" s="116" t="n"/>
      <c r="D836" s="121" t="n"/>
      <c r="E836" s="120" t="n"/>
      <c r="F836" s="120" t="n"/>
      <c r="G836" s="120" t="n"/>
      <c r="H836" s="120" t="n"/>
      <c r="I836" s="117" t="n"/>
      <c r="J836" s="123" t="str">
        <f>IF(B836="","",IF(F836&lt;&gt;"",N(F836),ROUND(N(D836)*N(E836),2)))</f>
        <v/>
      </c>
      <c r="K836" s="123" t="str">
        <f>IF(B836="","",IF(H836&lt;&gt;"",N(H836),IF(B836="Dividendo",ROUND(J836*IFERROR(INDEX(Calcoli!$V$7:$V$21,MATCH(C836,Calcoli!$A$7:$A$21,0)),0.26),2),IF(B836="Vendita",ROUND(MAX(0,U836)*IFERROR(INDEX(Calcoli!$V$7:$V$21,MATCH(C836,Calcoli!$A$7:$A$21,0)),0.26),2),0))))</f>
        <v/>
      </c>
      <c r="L836" s="135" t="str">
        <f>IF(B836="","",IF(B836="Acquisto",-(J836+N(G836)),J836-N(G836)-K836))</f>
        <v/>
      </c>
      <c r="M836" s="127" t="str">
        <f>IF(B836="","",IF(ISNA(MATCH(C836,ETF!$A$7:$A$21,0)),"ETF?",IF(NOT(ISNUMBER(A836)),"Data?",IF(AND(B836&lt;&gt;"Dividendo",N(D836)&lt;=0),"Quote?",IF(AND(B836="Vendita",N(D836)&gt;N(Q836)+0.000001),"Quote?",IF(J836&lt;=0,"Importo?","✓"))))))</f>
        <v/>
      </c>
      <c r="N836" t="str">
        <f>IF(OR(B836="Acquisto",B836="Vendita"),COUNTIFS($C$5:C836,C836,$B$5:B836,"Acquisto")+COUNTIFS($C$5:C836,C836,$B$5:B836,"Vendita"),"")</f>
        <v/>
      </c>
      <c r="O836" t="str">
        <f>IF(N836="","",C836&amp;"|"&amp;N836)</f>
        <v/>
      </c>
      <c r="P836" t="str">
        <f>IF(N836="","",IF(N836=1,0,MATCH(C836&amp;"|"&amp;(N836-1),$O$5:$O$1004,0)))</f>
        <v/>
      </c>
      <c r="Q836" t="str">
        <f>IF(N836="","",IF(P836=0,SUMIFS(Calcoli!$C$7:$C$21,Calcoli!$A$7:$A$21,C836),INDEX($S$5:$S$1004,P836)))</f>
        <v/>
      </c>
      <c r="R836" t="str">
        <f>IF(N836="","",IF(P836=0,SUMIFS(Calcoli!$D$7:$D$21,Calcoli!$A$7:$A$21,C836),INDEX($T$5:$T$1004,P836)))</f>
        <v/>
      </c>
      <c r="S836" t="str">
        <f>IF(N836="","",IF(B836="Acquisto",Q836+N(D836),MAX(0,Q836-N(D836))))</f>
        <v/>
      </c>
      <c r="T836" t="str">
        <f>IF(N836="","",IF(B836="Acquisto",R836+J836+N(G836),IF(Q836&lt;=0,0,R836*(1-MIN(1,N(D836)/Q836)))))</f>
        <v/>
      </c>
      <c r="U836" t="str">
        <f>IF(B836&lt;&gt;"Vendita","",J836-N(G836)-IF(Q836&lt;=0,0,R836*MIN(1,N(D836)/Q836)))</f>
        <v/>
      </c>
      <c r="V836" t="str">
        <f>IF(B836&lt;&gt;"Dividendo","",IF(Calcoli!$B$251=1,J836,L836))</f>
        <v/>
      </c>
      <c r="W836" t="str">
        <f>IF(AND(V836&lt;&gt;"",ISNUMBER(A836)),A836,"")</f>
        <v/>
      </c>
    </row>
    <row r="837">
      <c r="A837" s="134" t="n"/>
      <c r="B837" s="116" t="n"/>
      <c r="C837" s="116" t="n"/>
      <c r="D837" s="121" t="n"/>
      <c r="E837" s="120" t="n"/>
      <c r="F837" s="120" t="n"/>
      <c r="G837" s="120" t="n"/>
      <c r="H837" s="120" t="n"/>
      <c r="I837" s="117" t="n"/>
      <c r="J837" s="123" t="str">
        <f>IF(B837="","",IF(F837&lt;&gt;"",N(F837),ROUND(N(D837)*N(E837),2)))</f>
        <v/>
      </c>
      <c r="K837" s="123" t="str">
        <f>IF(B837="","",IF(H837&lt;&gt;"",N(H837),IF(B837="Dividendo",ROUND(J837*IFERROR(INDEX(Calcoli!$V$7:$V$21,MATCH(C837,Calcoli!$A$7:$A$21,0)),0.26),2),IF(B837="Vendita",ROUND(MAX(0,U837)*IFERROR(INDEX(Calcoli!$V$7:$V$21,MATCH(C837,Calcoli!$A$7:$A$21,0)),0.26),2),0))))</f>
        <v/>
      </c>
      <c r="L837" s="135" t="str">
        <f>IF(B837="","",IF(B837="Acquisto",-(J837+N(G837)),J837-N(G837)-K837))</f>
        <v/>
      </c>
      <c r="M837" s="127" t="str">
        <f>IF(B837="","",IF(ISNA(MATCH(C837,ETF!$A$7:$A$21,0)),"ETF?",IF(NOT(ISNUMBER(A837)),"Data?",IF(AND(B837&lt;&gt;"Dividendo",N(D837)&lt;=0),"Quote?",IF(AND(B837="Vendita",N(D837)&gt;N(Q837)+0.000001),"Quote?",IF(J837&lt;=0,"Importo?","✓"))))))</f>
        <v/>
      </c>
      <c r="N837" t="str">
        <f>IF(OR(B837="Acquisto",B837="Vendita"),COUNTIFS($C$5:C837,C837,$B$5:B837,"Acquisto")+COUNTIFS($C$5:C837,C837,$B$5:B837,"Vendita"),"")</f>
        <v/>
      </c>
      <c r="O837" t="str">
        <f>IF(N837="","",C837&amp;"|"&amp;N837)</f>
        <v/>
      </c>
      <c r="P837" t="str">
        <f>IF(N837="","",IF(N837=1,0,MATCH(C837&amp;"|"&amp;(N837-1),$O$5:$O$1004,0)))</f>
        <v/>
      </c>
      <c r="Q837" t="str">
        <f>IF(N837="","",IF(P837=0,SUMIFS(Calcoli!$C$7:$C$21,Calcoli!$A$7:$A$21,C837),INDEX($S$5:$S$1004,P837)))</f>
        <v/>
      </c>
      <c r="R837" t="str">
        <f>IF(N837="","",IF(P837=0,SUMIFS(Calcoli!$D$7:$D$21,Calcoli!$A$7:$A$21,C837),INDEX($T$5:$T$1004,P837)))</f>
        <v/>
      </c>
      <c r="S837" t="str">
        <f>IF(N837="","",IF(B837="Acquisto",Q837+N(D837),MAX(0,Q837-N(D837))))</f>
        <v/>
      </c>
      <c r="T837" t="str">
        <f>IF(N837="","",IF(B837="Acquisto",R837+J837+N(G837),IF(Q837&lt;=0,0,R837*(1-MIN(1,N(D837)/Q837)))))</f>
        <v/>
      </c>
      <c r="U837" t="str">
        <f>IF(B837&lt;&gt;"Vendita","",J837-N(G837)-IF(Q837&lt;=0,0,R837*MIN(1,N(D837)/Q837)))</f>
        <v/>
      </c>
      <c r="V837" t="str">
        <f>IF(B837&lt;&gt;"Dividendo","",IF(Calcoli!$B$251=1,J837,L837))</f>
        <v/>
      </c>
      <c r="W837" t="str">
        <f>IF(AND(V837&lt;&gt;"",ISNUMBER(A837)),A837,"")</f>
        <v/>
      </c>
    </row>
    <row r="838">
      <c r="A838" s="134" t="n"/>
      <c r="B838" s="116" t="n"/>
      <c r="C838" s="116" t="n"/>
      <c r="D838" s="121" t="n"/>
      <c r="E838" s="120" t="n"/>
      <c r="F838" s="120" t="n"/>
      <c r="G838" s="120" t="n"/>
      <c r="H838" s="120" t="n"/>
      <c r="I838" s="117" t="n"/>
      <c r="J838" s="123" t="str">
        <f>IF(B838="","",IF(F838&lt;&gt;"",N(F838),ROUND(N(D838)*N(E838),2)))</f>
        <v/>
      </c>
      <c r="K838" s="123" t="str">
        <f>IF(B838="","",IF(H838&lt;&gt;"",N(H838),IF(B838="Dividendo",ROUND(J838*IFERROR(INDEX(Calcoli!$V$7:$V$21,MATCH(C838,Calcoli!$A$7:$A$21,0)),0.26),2),IF(B838="Vendita",ROUND(MAX(0,U838)*IFERROR(INDEX(Calcoli!$V$7:$V$21,MATCH(C838,Calcoli!$A$7:$A$21,0)),0.26),2),0))))</f>
        <v/>
      </c>
      <c r="L838" s="135" t="str">
        <f>IF(B838="","",IF(B838="Acquisto",-(J838+N(G838)),J838-N(G838)-K838))</f>
        <v/>
      </c>
      <c r="M838" s="127" t="str">
        <f>IF(B838="","",IF(ISNA(MATCH(C838,ETF!$A$7:$A$21,0)),"ETF?",IF(NOT(ISNUMBER(A838)),"Data?",IF(AND(B838&lt;&gt;"Dividendo",N(D838)&lt;=0),"Quote?",IF(AND(B838="Vendita",N(D838)&gt;N(Q838)+0.000001),"Quote?",IF(J838&lt;=0,"Importo?","✓"))))))</f>
        <v/>
      </c>
      <c r="N838" t="str">
        <f>IF(OR(B838="Acquisto",B838="Vendita"),COUNTIFS($C$5:C838,C838,$B$5:B838,"Acquisto")+COUNTIFS($C$5:C838,C838,$B$5:B838,"Vendita"),"")</f>
        <v/>
      </c>
      <c r="O838" t="str">
        <f>IF(N838="","",C838&amp;"|"&amp;N838)</f>
        <v/>
      </c>
      <c r="P838" t="str">
        <f>IF(N838="","",IF(N838=1,0,MATCH(C838&amp;"|"&amp;(N838-1),$O$5:$O$1004,0)))</f>
        <v/>
      </c>
      <c r="Q838" t="str">
        <f>IF(N838="","",IF(P838=0,SUMIFS(Calcoli!$C$7:$C$21,Calcoli!$A$7:$A$21,C838),INDEX($S$5:$S$1004,P838)))</f>
        <v/>
      </c>
      <c r="R838" t="str">
        <f>IF(N838="","",IF(P838=0,SUMIFS(Calcoli!$D$7:$D$21,Calcoli!$A$7:$A$21,C838),INDEX($T$5:$T$1004,P838)))</f>
        <v/>
      </c>
      <c r="S838" t="str">
        <f>IF(N838="","",IF(B838="Acquisto",Q838+N(D838),MAX(0,Q838-N(D838))))</f>
        <v/>
      </c>
      <c r="T838" t="str">
        <f>IF(N838="","",IF(B838="Acquisto",R838+J838+N(G838),IF(Q838&lt;=0,0,R838*(1-MIN(1,N(D838)/Q838)))))</f>
        <v/>
      </c>
      <c r="U838" t="str">
        <f>IF(B838&lt;&gt;"Vendita","",J838-N(G838)-IF(Q838&lt;=0,0,R838*MIN(1,N(D838)/Q838)))</f>
        <v/>
      </c>
      <c r="V838" t="str">
        <f>IF(B838&lt;&gt;"Dividendo","",IF(Calcoli!$B$251=1,J838,L838))</f>
        <v/>
      </c>
      <c r="W838" t="str">
        <f>IF(AND(V838&lt;&gt;"",ISNUMBER(A838)),A838,"")</f>
        <v/>
      </c>
    </row>
    <row r="839">
      <c r="A839" s="134" t="n"/>
      <c r="B839" s="116" t="n"/>
      <c r="C839" s="116" t="n"/>
      <c r="D839" s="121" t="n"/>
      <c r="E839" s="120" t="n"/>
      <c r="F839" s="120" t="n"/>
      <c r="G839" s="120" t="n"/>
      <c r="H839" s="120" t="n"/>
      <c r="I839" s="117" t="n"/>
      <c r="J839" s="123" t="str">
        <f>IF(B839="","",IF(F839&lt;&gt;"",N(F839),ROUND(N(D839)*N(E839),2)))</f>
        <v/>
      </c>
      <c r="K839" s="123" t="str">
        <f>IF(B839="","",IF(H839&lt;&gt;"",N(H839),IF(B839="Dividendo",ROUND(J839*IFERROR(INDEX(Calcoli!$V$7:$V$21,MATCH(C839,Calcoli!$A$7:$A$21,0)),0.26),2),IF(B839="Vendita",ROUND(MAX(0,U839)*IFERROR(INDEX(Calcoli!$V$7:$V$21,MATCH(C839,Calcoli!$A$7:$A$21,0)),0.26),2),0))))</f>
        <v/>
      </c>
      <c r="L839" s="135" t="str">
        <f>IF(B839="","",IF(B839="Acquisto",-(J839+N(G839)),J839-N(G839)-K839))</f>
        <v/>
      </c>
      <c r="M839" s="127" t="str">
        <f>IF(B839="","",IF(ISNA(MATCH(C839,ETF!$A$7:$A$21,0)),"ETF?",IF(NOT(ISNUMBER(A839)),"Data?",IF(AND(B839&lt;&gt;"Dividendo",N(D839)&lt;=0),"Quote?",IF(AND(B839="Vendita",N(D839)&gt;N(Q839)+0.000001),"Quote?",IF(J839&lt;=0,"Importo?","✓"))))))</f>
        <v/>
      </c>
      <c r="N839" t="str">
        <f>IF(OR(B839="Acquisto",B839="Vendita"),COUNTIFS($C$5:C839,C839,$B$5:B839,"Acquisto")+COUNTIFS($C$5:C839,C839,$B$5:B839,"Vendita"),"")</f>
        <v/>
      </c>
      <c r="O839" t="str">
        <f>IF(N839="","",C839&amp;"|"&amp;N839)</f>
        <v/>
      </c>
      <c r="P839" t="str">
        <f>IF(N839="","",IF(N839=1,0,MATCH(C839&amp;"|"&amp;(N839-1),$O$5:$O$1004,0)))</f>
        <v/>
      </c>
      <c r="Q839" t="str">
        <f>IF(N839="","",IF(P839=0,SUMIFS(Calcoli!$C$7:$C$21,Calcoli!$A$7:$A$21,C839),INDEX($S$5:$S$1004,P839)))</f>
        <v/>
      </c>
      <c r="R839" t="str">
        <f>IF(N839="","",IF(P839=0,SUMIFS(Calcoli!$D$7:$D$21,Calcoli!$A$7:$A$21,C839),INDEX($T$5:$T$1004,P839)))</f>
        <v/>
      </c>
      <c r="S839" t="str">
        <f>IF(N839="","",IF(B839="Acquisto",Q839+N(D839),MAX(0,Q839-N(D839))))</f>
        <v/>
      </c>
      <c r="T839" t="str">
        <f>IF(N839="","",IF(B839="Acquisto",R839+J839+N(G839),IF(Q839&lt;=0,0,R839*(1-MIN(1,N(D839)/Q839)))))</f>
        <v/>
      </c>
      <c r="U839" t="str">
        <f>IF(B839&lt;&gt;"Vendita","",J839-N(G839)-IF(Q839&lt;=0,0,R839*MIN(1,N(D839)/Q839)))</f>
        <v/>
      </c>
      <c r="V839" t="str">
        <f>IF(B839&lt;&gt;"Dividendo","",IF(Calcoli!$B$251=1,J839,L839))</f>
        <v/>
      </c>
      <c r="W839" t="str">
        <f>IF(AND(V839&lt;&gt;"",ISNUMBER(A839)),A839,"")</f>
        <v/>
      </c>
    </row>
    <row r="840">
      <c r="A840" s="134" t="n"/>
      <c r="B840" s="116" t="n"/>
      <c r="C840" s="116" t="n"/>
      <c r="D840" s="121" t="n"/>
      <c r="E840" s="120" t="n"/>
      <c r="F840" s="120" t="n"/>
      <c r="G840" s="120" t="n"/>
      <c r="H840" s="120" t="n"/>
      <c r="I840" s="117" t="n"/>
      <c r="J840" s="123" t="str">
        <f>IF(B840="","",IF(F840&lt;&gt;"",N(F840),ROUND(N(D840)*N(E840),2)))</f>
        <v/>
      </c>
      <c r="K840" s="123" t="str">
        <f>IF(B840="","",IF(H840&lt;&gt;"",N(H840),IF(B840="Dividendo",ROUND(J840*IFERROR(INDEX(Calcoli!$V$7:$V$21,MATCH(C840,Calcoli!$A$7:$A$21,0)),0.26),2),IF(B840="Vendita",ROUND(MAX(0,U840)*IFERROR(INDEX(Calcoli!$V$7:$V$21,MATCH(C840,Calcoli!$A$7:$A$21,0)),0.26),2),0))))</f>
        <v/>
      </c>
      <c r="L840" s="135" t="str">
        <f>IF(B840="","",IF(B840="Acquisto",-(J840+N(G840)),J840-N(G840)-K840))</f>
        <v/>
      </c>
      <c r="M840" s="127" t="str">
        <f>IF(B840="","",IF(ISNA(MATCH(C840,ETF!$A$7:$A$21,0)),"ETF?",IF(NOT(ISNUMBER(A840)),"Data?",IF(AND(B840&lt;&gt;"Dividendo",N(D840)&lt;=0),"Quote?",IF(AND(B840="Vendita",N(D840)&gt;N(Q840)+0.000001),"Quote?",IF(J840&lt;=0,"Importo?","✓"))))))</f>
        <v/>
      </c>
      <c r="N840" t="str">
        <f>IF(OR(B840="Acquisto",B840="Vendita"),COUNTIFS($C$5:C840,C840,$B$5:B840,"Acquisto")+COUNTIFS($C$5:C840,C840,$B$5:B840,"Vendita"),"")</f>
        <v/>
      </c>
      <c r="O840" t="str">
        <f>IF(N840="","",C840&amp;"|"&amp;N840)</f>
        <v/>
      </c>
      <c r="P840" t="str">
        <f>IF(N840="","",IF(N840=1,0,MATCH(C840&amp;"|"&amp;(N840-1),$O$5:$O$1004,0)))</f>
        <v/>
      </c>
      <c r="Q840" t="str">
        <f>IF(N840="","",IF(P840=0,SUMIFS(Calcoli!$C$7:$C$21,Calcoli!$A$7:$A$21,C840),INDEX($S$5:$S$1004,P840)))</f>
        <v/>
      </c>
      <c r="R840" t="str">
        <f>IF(N840="","",IF(P840=0,SUMIFS(Calcoli!$D$7:$D$21,Calcoli!$A$7:$A$21,C840),INDEX($T$5:$T$1004,P840)))</f>
        <v/>
      </c>
      <c r="S840" t="str">
        <f>IF(N840="","",IF(B840="Acquisto",Q840+N(D840),MAX(0,Q840-N(D840))))</f>
        <v/>
      </c>
      <c r="T840" t="str">
        <f>IF(N840="","",IF(B840="Acquisto",R840+J840+N(G840),IF(Q840&lt;=0,0,R840*(1-MIN(1,N(D840)/Q840)))))</f>
        <v/>
      </c>
      <c r="U840" t="str">
        <f>IF(B840&lt;&gt;"Vendita","",J840-N(G840)-IF(Q840&lt;=0,0,R840*MIN(1,N(D840)/Q840)))</f>
        <v/>
      </c>
      <c r="V840" t="str">
        <f>IF(B840&lt;&gt;"Dividendo","",IF(Calcoli!$B$251=1,J840,L840))</f>
        <v/>
      </c>
      <c r="W840" t="str">
        <f>IF(AND(V840&lt;&gt;"",ISNUMBER(A840)),A840,"")</f>
        <v/>
      </c>
    </row>
    <row r="841">
      <c r="A841" s="134" t="n"/>
      <c r="B841" s="116" t="n"/>
      <c r="C841" s="116" t="n"/>
      <c r="D841" s="121" t="n"/>
      <c r="E841" s="120" t="n"/>
      <c r="F841" s="120" t="n"/>
      <c r="G841" s="120" t="n"/>
      <c r="H841" s="120" t="n"/>
      <c r="I841" s="117" t="n"/>
      <c r="J841" s="123" t="str">
        <f>IF(B841="","",IF(F841&lt;&gt;"",N(F841),ROUND(N(D841)*N(E841),2)))</f>
        <v/>
      </c>
      <c r="K841" s="123" t="str">
        <f>IF(B841="","",IF(H841&lt;&gt;"",N(H841),IF(B841="Dividendo",ROUND(J841*IFERROR(INDEX(Calcoli!$V$7:$V$21,MATCH(C841,Calcoli!$A$7:$A$21,0)),0.26),2),IF(B841="Vendita",ROUND(MAX(0,U841)*IFERROR(INDEX(Calcoli!$V$7:$V$21,MATCH(C841,Calcoli!$A$7:$A$21,0)),0.26),2),0))))</f>
        <v/>
      </c>
      <c r="L841" s="135" t="str">
        <f>IF(B841="","",IF(B841="Acquisto",-(J841+N(G841)),J841-N(G841)-K841))</f>
        <v/>
      </c>
      <c r="M841" s="127" t="str">
        <f>IF(B841="","",IF(ISNA(MATCH(C841,ETF!$A$7:$A$21,0)),"ETF?",IF(NOT(ISNUMBER(A841)),"Data?",IF(AND(B841&lt;&gt;"Dividendo",N(D841)&lt;=0),"Quote?",IF(AND(B841="Vendita",N(D841)&gt;N(Q841)+0.000001),"Quote?",IF(J841&lt;=0,"Importo?","✓"))))))</f>
        <v/>
      </c>
      <c r="N841" t="str">
        <f>IF(OR(B841="Acquisto",B841="Vendita"),COUNTIFS($C$5:C841,C841,$B$5:B841,"Acquisto")+COUNTIFS($C$5:C841,C841,$B$5:B841,"Vendita"),"")</f>
        <v/>
      </c>
      <c r="O841" t="str">
        <f>IF(N841="","",C841&amp;"|"&amp;N841)</f>
        <v/>
      </c>
      <c r="P841" t="str">
        <f>IF(N841="","",IF(N841=1,0,MATCH(C841&amp;"|"&amp;(N841-1),$O$5:$O$1004,0)))</f>
        <v/>
      </c>
      <c r="Q841" t="str">
        <f>IF(N841="","",IF(P841=0,SUMIFS(Calcoli!$C$7:$C$21,Calcoli!$A$7:$A$21,C841),INDEX($S$5:$S$1004,P841)))</f>
        <v/>
      </c>
      <c r="R841" t="str">
        <f>IF(N841="","",IF(P841=0,SUMIFS(Calcoli!$D$7:$D$21,Calcoli!$A$7:$A$21,C841),INDEX($T$5:$T$1004,P841)))</f>
        <v/>
      </c>
      <c r="S841" t="str">
        <f>IF(N841="","",IF(B841="Acquisto",Q841+N(D841),MAX(0,Q841-N(D841))))</f>
        <v/>
      </c>
      <c r="T841" t="str">
        <f>IF(N841="","",IF(B841="Acquisto",R841+J841+N(G841),IF(Q841&lt;=0,0,R841*(1-MIN(1,N(D841)/Q841)))))</f>
        <v/>
      </c>
      <c r="U841" t="str">
        <f>IF(B841&lt;&gt;"Vendita","",J841-N(G841)-IF(Q841&lt;=0,0,R841*MIN(1,N(D841)/Q841)))</f>
        <v/>
      </c>
      <c r="V841" t="str">
        <f>IF(B841&lt;&gt;"Dividendo","",IF(Calcoli!$B$251=1,J841,L841))</f>
        <v/>
      </c>
      <c r="W841" t="str">
        <f>IF(AND(V841&lt;&gt;"",ISNUMBER(A841)),A841,"")</f>
        <v/>
      </c>
    </row>
    <row r="842">
      <c r="A842" s="134" t="n"/>
      <c r="B842" s="116" t="n"/>
      <c r="C842" s="116" t="n"/>
      <c r="D842" s="121" t="n"/>
      <c r="E842" s="120" t="n"/>
      <c r="F842" s="120" t="n"/>
      <c r="G842" s="120" t="n"/>
      <c r="H842" s="120" t="n"/>
      <c r="I842" s="117" t="n"/>
      <c r="J842" s="123" t="str">
        <f>IF(B842="","",IF(F842&lt;&gt;"",N(F842),ROUND(N(D842)*N(E842),2)))</f>
        <v/>
      </c>
      <c r="K842" s="123" t="str">
        <f>IF(B842="","",IF(H842&lt;&gt;"",N(H842),IF(B842="Dividendo",ROUND(J842*IFERROR(INDEX(Calcoli!$V$7:$V$21,MATCH(C842,Calcoli!$A$7:$A$21,0)),0.26),2),IF(B842="Vendita",ROUND(MAX(0,U842)*IFERROR(INDEX(Calcoli!$V$7:$V$21,MATCH(C842,Calcoli!$A$7:$A$21,0)),0.26),2),0))))</f>
        <v/>
      </c>
      <c r="L842" s="135" t="str">
        <f>IF(B842="","",IF(B842="Acquisto",-(J842+N(G842)),J842-N(G842)-K842))</f>
        <v/>
      </c>
      <c r="M842" s="127" t="str">
        <f>IF(B842="","",IF(ISNA(MATCH(C842,ETF!$A$7:$A$21,0)),"ETF?",IF(NOT(ISNUMBER(A842)),"Data?",IF(AND(B842&lt;&gt;"Dividendo",N(D842)&lt;=0),"Quote?",IF(AND(B842="Vendita",N(D842)&gt;N(Q842)+0.000001),"Quote?",IF(J842&lt;=0,"Importo?","✓"))))))</f>
        <v/>
      </c>
      <c r="N842" t="str">
        <f>IF(OR(B842="Acquisto",B842="Vendita"),COUNTIFS($C$5:C842,C842,$B$5:B842,"Acquisto")+COUNTIFS($C$5:C842,C842,$B$5:B842,"Vendita"),"")</f>
        <v/>
      </c>
      <c r="O842" t="str">
        <f>IF(N842="","",C842&amp;"|"&amp;N842)</f>
        <v/>
      </c>
      <c r="P842" t="str">
        <f>IF(N842="","",IF(N842=1,0,MATCH(C842&amp;"|"&amp;(N842-1),$O$5:$O$1004,0)))</f>
        <v/>
      </c>
      <c r="Q842" t="str">
        <f>IF(N842="","",IF(P842=0,SUMIFS(Calcoli!$C$7:$C$21,Calcoli!$A$7:$A$21,C842),INDEX($S$5:$S$1004,P842)))</f>
        <v/>
      </c>
      <c r="R842" t="str">
        <f>IF(N842="","",IF(P842=0,SUMIFS(Calcoli!$D$7:$D$21,Calcoli!$A$7:$A$21,C842),INDEX($T$5:$T$1004,P842)))</f>
        <v/>
      </c>
      <c r="S842" t="str">
        <f>IF(N842="","",IF(B842="Acquisto",Q842+N(D842),MAX(0,Q842-N(D842))))</f>
        <v/>
      </c>
      <c r="T842" t="str">
        <f>IF(N842="","",IF(B842="Acquisto",R842+J842+N(G842),IF(Q842&lt;=0,0,R842*(1-MIN(1,N(D842)/Q842)))))</f>
        <v/>
      </c>
      <c r="U842" t="str">
        <f>IF(B842&lt;&gt;"Vendita","",J842-N(G842)-IF(Q842&lt;=0,0,R842*MIN(1,N(D842)/Q842)))</f>
        <v/>
      </c>
      <c r="V842" t="str">
        <f>IF(B842&lt;&gt;"Dividendo","",IF(Calcoli!$B$251=1,J842,L842))</f>
        <v/>
      </c>
      <c r="W842" t="str">
        <f>IF(AND(V842&lt;&gt;"",ISNUMBER(A842)),A842,"")</f>
        <v/>
      </c>
    </row>
    <row r="843">
      <c r="A843" s="134" t="n"/>
      <c r="B843" s="116" t="n"/>
      <c r="C843" s="116" t="n"/>
      <c r="D843" s="121" t="n"/>
      <c r="E843" s="120" t="n"/>
      <c r="F843" s="120" t="n"/>
      <c r="G843" s="120" t="n"/>
      <c r="H843" s="120" t="n"/>
      <c r="I843" s="117" t="n"/>
      <c r="J843" s="123" t="str">
        <f>IF(B843="","",IF(F843&lt;&gt;"",N(F843),ROUND(N(D843)*N(E843),2)))</f>
        <v/>
      </c>
      <c r="K843" s="123" t="str">
        <f>IF(B843="","",IF(H843&lt;&gt;"",N(H843),IF(B843="Dividendo",ROUND(J843*IFERROR(INDEX(Calcoli!$V$7:$V$21,MATCH(C843,Calcoli!$A$7:$A$21,0)),0.26),2),IF(B843="Vendita",ROUND(MAX(0,U843)*IFERROR(INDEX(Calcoli!$V$7:$V$21,MATCH(C843,Calcoli!$A$7:$A$21,0)),0.26),2),0))))</f>
        <v/>
      </c>
      <c r="L843" s="135" t="str">
        <f>IF(B843="","",IF(B843="Acquisto",-(J843+N(G843)),J843-N(G843)-K843))</f>
        <v/>
      </c>
      <c r="M843" s="127" t="str">
        <f>IF(B843="","",IF(ISNA(MATCH(C843,ETF!$A$7:$A$21,0)),"ETF?",IF(NOT(ISNUMBER(A843)),"Data?",IF(AND(B843&lt;&gt;"Dividendo",N(D843)&lt;=0),"Quote?",IF(AND(B843="Vendita",N(D843)&gt;N(Q843)+0.000001),"Quote?",IF(J843&lt;=0,"Importo?","✓"))))))</f>
        <v/>
      </c>
      <c r="N843" t="str">
        <f>IF(OR(B843="Acquisto",B843="Vendita"),COUNTIFS($C$5:C843,C843,$B$5:B843,"Acquisto")+COUNTIFS($C$5:C843,C843,$B$5:B843,"Vendita"),"")</f>
        <v/>
      </c>
      <c r="O843" t="str">
        <f>IF(N843="","",C843&amp;"|"&amp;N843)</f>
        <v/>
      </c>
      <c r="P843" t="str">
        <f>IF(N843="","",IF(N843=1,0,MATCH(C843&amp;"|"&amp;(N843-1),$O$5:$O$1004,0)))</f>
        <v/>
      </c>
      <c r="Q843" t="str">
        <f>IF(N843="","",IF(P843=0,SUMIFS(Calcoli!$C$7:$C$21,Calcoli!$A$7:$A$21,C843),INDEX($S$5:$S$1004,P843)))</f>
        <v/>
      </c>
      <c r="R843" t="str">
        <f>IF(N843="","",IF(P843=0,SUMIFS(Calcoli!$D$7:$D$21,Calcoli!$A$7:$A$21,C843),INDEX($T$5:$T$1004,P843)))</f>
        <v/>
      </c>
      <c r="S843" t="str">
        <f>IF(N843="","",IF(B843="Acquisto",Q843+N(D843),MAX(0,Q843-N(D843))))</f>
        <v/>
      </c>
      <c r="T843" t="str">
        <f>IF(N843="","",IF(B843="Acquisto",R843+J843+N(G843),IF(Q843&lt;=0,0,R843*(1-MIN(1,N(D843)/Q843)))))</f>
        <v/>
      </c>
      <c r="U843" t="str">
        <f>IF(B843&lt;&gt;"Vendita","",J843-N(G843)-IF(Q843&lt;=0,0,R843*MIN(1,N(D843)/Q843)))</f>
        <v/>
      </c>
      <c r="V843" t="str">
        <f>IF(B843&lt;&gt;"Dividendo","",IF(Calcoli!$B$251=1,J843,L843))</f>
        <v/>
      </c>
      <c r="W843" t="str">
        <f>IF(AND(V843&lt;&gt;"",ISNUMBER(A843)),A843,"")</f>
        <v/>
      </c>
    </row>
    <row r="844">
      <c r="A844" s="134" t="n"/>
      <c r="B844" s="116" t="n"/>
      <c r="C844" s="116" t="n"/>
      <c r="D844" s="121" t="n"/>
      <c r="E844" s="120" t="n"/>
      <c r="F844" s="120" t="n"/>
      <c r="G844" s="120" t="n"/>
      <c r="H844" s="120" t="n"/>
      <c r="I844" s="117" t="n"/>
      <c r="J844" s="123" t="str">
        <f>IF(B844="","",IF(F844&lt;&gt;"",N(F844),ROUND(N(D844)*N(E844),2)))</f>
        <v/>
      </c>
      <c r="K844" s="123" t="str">
        <f>IF(B844="","",IF(H844&lt;&gt;"",N(H844),IF(B844="Dividendo",ROUND(J844*IFERROR(INDEX(Calcoli!$V$7:$V$21,MATCH(C844,Calcoli!$A$7:$A$21,0)),0.26),2),IF(B844="Vendita",ROUND(MAX(0,U844)*IFERROR(INDEX(Calcoli!$V$7:$V$21,MATCH(C844,Calcoli!$A$7:$A$21,0)),0.26),2),0))))</f>
        <v/>
      </c>
      <c r="L844" s="135" t="str">
        <f>IF(B844="","",IF(B844="Acquisto",-(J844+N(G844)),J844-N(G844)-K844))</f>
        <v/>
      </c>
      <c r="M844" s="127" t="str">
        <f>IF(B844="","",IF(ISNA(MATCH(C844,ETF!$A$7:$A$21,0)),"ETF?",IF(NOT(ISNUMBER(A844)),"Data?",IF(AND(B844&lt;&gt;"Dividendo",N(D844)&lt;=0),"Quote?",IF(AND(B844="Vendita",N(D844)&gt;N(Q844)+0.000001),"Quote?",IF(J844&lt;=0,"Importo?","✓"))))))</f>
        <v/>
      </c>
      <c r="N844" t="str">
        <f>IF(OR(B844="Acquisto",B844="Vendita"),COUNTIFS($C$5:C844,C844,$B$5:B844,"Acquisto")+COUNTIFS($C$5:C844,C844,$B$5:B844,"Vendita"),"")</f>
        <v/>
      </c>
      <c r="O844" t="str">
        <f>IF(N844="","",C844&amp;"|"&amp;N844)</f>
        <v/>
      </c>
      <c r="P844" t="str">
        <f>IF(N844="","",IF(N844=1,0,MATCH(C844&amp;"|"&amp;(N844-1),$O$5:$O$1004,0)))</f>
        <v/>
      </c>
      <c r="Q844" t="str">
        <f>IF(N844="","",IF(P844=0,SUMIFS(Calcoli!$C$7:$C$21,Calcoli!$A$7:$A$21,C844),INDEX($S$5:$S$1004,P844)))</f>
        <v/>
      </c>
      <c r="R844" t="str">
        <f>IF(N844="","",IF(P844=0,SUMIFS(Calcoli!$D$7:$D$21,Calcoli!$A$7:$A$21,C844),INDEX($T$5:$T$1004,P844)))</f>
        <v/>
      </c>
      <c r="S844" t="str">
        <f>IF(N844="","",IF(B844="Acquisto",Q844+N(D844),MAX(0,Q844-N(D844))))</f>
        <v/>
      </c>
      <c r="T844" t="str">
        <f>IF(N844="","",IF(B844="Acquisto",R844+J844+N(G844),IF(Q844&lt;=0,0,R844*(1-MIN(1,N(D844)/Q844)))))</f>
        <v/>
      </c>
      <c r="U844" t="str">
        <f>IF(B844&lt;&gt;"Vendita","",J844-N(G844)-IF(Q844&lt;=0,0,R844*MIN(1,N(D844)/Q844)))</f>
        <v/>
      </c>
      <c r="V844" t="str">
        <f>IF(B844&lt;&gt;"Dividendo","",IF(Calcoli!$B$251=1,J844,L844))</f>
        <v/>
      </c>
      <c r="W844" t="str">
        <f>IF(AND(V844&lt;&gt;"",ISNUMBER(A844)),A844,"")</f>
        <v/>
      </c>
    </row>
    <row r="845">
      <c r="A845" s="134" t="n"/>
      <c r="B845" s="116" t="n"/>
      <c r="C845" s="116" t="n"/>
      <c r="D845" s="121" t="n"/>
      <c r="E845" s="120" t="n"/>
      <c r="F845" s="120" t="n"/>
      <c r="G845" s="120" t="n"/>
      <c r="H845" s="120" t="n"/>
      <c r="I845" s="117" t="n"/>
      <c r="J845" s="123" t="str">
        <f>IF(B845="","",IF(F845&lt;&gt;"",N(F845),ROUND(N(D845)*N(E845),2)))</f>
        <v/>
      </c>
      <c r="K845" s="123" t="str">
        <f>IF(B845="","",IF(H845&lt;&gt;"",N(H845),IF(B845="Dividendo",ROUND(J845*IFERROR(INDEX(Calcoli!$V$7:$V$21,MATCH(C845,Calcoli!$A$7:$A$21,0)),0.26),2),IF(B845="Vendita",ROUND(MAX(0,U845)*IFERROR(INDEX(Calcoli!$V$7:$V$21,MATCH(C845,Calcoli!$A$7:$A$21,0)),0.26),2),0))))</f>
        <v/>
      </c>
      <c r="L845" s="135" t="str">
        <f>IF(B845="","",IF(B845="Acquisto",-(J845+N(G845)),J845-N(G845)-K845))</f>
        <v/>
      </c>
      <c r="M845" s="127" t="str">
        <f>IF(B845="","",IF(ISNA(MATCH(C845,ETF!$A$7:$A$21,0)),"ETF?",IF(NOT(ISNUMBER(A845)),"Data?",IF(AND(B845&lt;&gt;"Dividendo",N(D845)&lt;=0),"Quote?",IF(AND(B845="Vendita",N(D845)&gt;N(Q845)+0.000001),"Quote?",IF(J845&lt;=0,"Importo?","✓"))))))</f>
        <v/>
      </c>
      <c r="N845" t="str">
        <f>IF(OR(B845="Acquisto",B845="Vendita"),COUNTIFS($C$5:C845,C845,$B$5:B845,"Acquisto")+COUNTIFS($C$5:C845,C845,$B$5:B845,"Vendita"),"")</f>
        <v/>
      </c>
      <c r="O845" t="str">
        <f>IF(N845="","",C845&amp;"|"&amp;N845)</f>
        <v/>
      </c>
      <c r="P845" t="str">
        <f>IF(N845="","",IF(N845=1,0,MATCH(C845&amp;"|"&amp;(N845-1),$O$5:$O$1004,0)))</f>
        <v/>
      </c>
      <c r="Q845" t="str">
        <f>IF(N845="","",IF(P845=0,SUMIFS(Calcoli!$C$7:$C$21,Calcoli!$A$7:$A$21,C845),INDEX($S$5:$S$1004,P845)))</f>
        <v/>
      </c>
      <c r="R845" t="str">
        <f>IF(N845="","",IF(P845=0,SUMIFS(Calcoli!$D$7:$D$21,Calcoli!$A$7:$A$21,C845),INDEX($T$5:$T$1004,P845)))</f>
        <v/>
      </c>
      <c r="S845" t="str">
        <f>IF(N845="","",IF(B845="Acquisto",Q845+N(D845),MAX(0,Q845-N(D845))))</f>
        <v/>
      </c>
      <c r="T845" t="str">
        <f>IF(N845="","",IF(B845="Acquisto",R845+J845+N(G845),IF(Q845&lt;=0,0,R845*(1-MIN(1,N(D845)/Q845)))))</f>
        <v/>
      </c>
      <c r="U845" t="str">
        <f>IF(B845&lt;&gt;"Vendita","",J845-N(G845)-IF(Q845&lt;=0,0,R845*MIN(1,N(D845)/Q845)))</f>
        <v/>
      </c>
      <c r="V845" t="str">
        <f>IF(B845&lt;&gt;"Dividendo","",IF(Calcoli!$B$251=1,J845,L845))</f>
        <v/>
      </c>
      <c r="W845" t="str">
        <f>IF(AND(V845&lt;&gt;"",ISNUMBER(A845)),A845,"")</f>
        <v/>
      </c>
    </row>
    <row r="846">
      <c r="A846" s="134" t="n"/>
      <c r="B846" s="116" t="n"/>
      <c r="C846" s="116" t="n"/>
      <c r="D846" s="121" t="n"/>
      <c r="E846" s="120" t="n"/>
      <c r="F846" s="120" t="n"/>
      <c r="G846" s="120" t="n"/>
      <c r="H846" s="120" t="n"/>
      <c r="I846" s="117" t="n"/>
      <c r="J846" s="123" t="str">
        <f>IF(B846="","",IF(F846&lt;&gt;"",N(F846),ROUND(N(D846)*N(E846),2)))</f>
        <v/>
      </c>
      <c r="K846" s="123" t="str">
        <f>IF(B846="","",IF(H846&lt;&gt;"",N(H846),IF(B846="Dividendo",ROUND(J846*IFERROR(INDEX(Calcoli!$V$7:$V$21,MATCH(C846,Calcoli!$A$7:$A$21,0)),0.26),2),IF(B846="Vendita",ROUND(MAX(0,U846)*IFERROR(INDEX(Calcoli!$V$7:$V$21,MATCH(C846,Calcoli!$A$7:$A$21,0)),0.26),2),0))))</f>
        <v/>
      </c>
      <c r="L846" s="135" t="str">
        <f>IF(B846="","",IF(B846="Acquisto",-(J846+N(G846)),J846-N(G846)-K846))</f>
        <v/>
      </c>
      <c r="M846" s="127" t="str">
        <f>IF(B846="","",IF(ISNA(MATCH(C846,ETF!$A$7:$A$21,0)),"ETF?",IF(NOT(ISNUMBER(A846)),"Data?",IF(AND(B846&lt;&gt;"Dividendo",N(D846)&lt;=0),"Quote?",IF(AND(B846="Vendita",N(D846)&gt;N(Q846)+0.000001),"Quote?",IF(J846&lt;=0,"Importo?","✓"))))))</f>
        <v/>
      </c>
      <c r="N846" t="str">
        <f>IF(OR(B846="Acquisto",B846="Vendita"),COUNTIFS($C$5:C846,C846,$B$5:B846,"Acquisto")+COUNTIFS($C$5:C846,C846,$B$5:B846,"Vendita"),"")</f>
        <v/>
      </c>
      <c r="O846" t="str">
        <f>IF(N846="","",C846&amp;"|"&amp;N846)</f>
        <v/>
      </c>
      <c r="P846" t="str">
        <f>IF(N846="","",IF(N846=1,0,MATCH(C846&amp;"|"&amp;(N846-1),$O$5:$O$1004,0)))</f>
        <v/>
      </c>
      <c r="Q846" t="str">
        <f>IF(N846="","",IF(P846=0,SUMIFS(Calcoli!$C$7:$C$21,Calcoli!$A$7:$A$21,C846),INDEX($S$5:$S$1004,P846)))</f>
        <v/>
      </c>
      <c r="R846" t="str">
        <f>IF(N846="","",IF(P846=0,SUMIFS(Calcoli!$D$7:$D$21,Calcoli!$A$7:$A$21,C846),INDEX($T$5:$T$1004,P846)))</f>
        <v/>
      </c>
      <c r="S846" t="str">
        <f>IF(N846="","",IF(B846="Acquisto",Q846+N(D846),MAX(0,Q846-N(D846))))</f>
        <v/>
      </c>
      <c r="T846" t="str">
        <f>IF(N846="","",IF(B846="Acquisto",R846+J846+N(G846),IF(Q846&lt;=0,0,R846*(1-MIN(1,N(D846)/Q846)))))</f>
        <v/>
      </c>
      <c r="U846" t="str">
        <f>IF(B846&lt;&gt;"Vendita","",J846-N(G846)-IF(Q846&lt;=0,0,R846*MIN(1,N(D846)/Q846)))</f>
        <v/>
      </c>
      <c r="V846" t="str">
        <f>IF(B846&lt;&gt;"Dividendo","",IF(Calcoli!$B$251=1,J846,L846))</f>
        <v/>
      </c>
      <c r="W846" t="str">
        <f>IF(AND(V846&lt;&gt;"",ISNUMBER(A846)),A846,"")</f>
        <v/>
      </c>
    </row>
    <row r="847">
      <c r="A847" s="134" t="n"/>
      <c r="B847" s="116" t="n"/>
      <c r="C847" s="116" t="n"/>
      <c r="D847" s="121" t="n"/>
      <c r="E847" s="120" t="n"/>
      <c r="F847" s="120" t="n"/>
      <c r="G847" s="120" t="n"/>
      <c r="H847" s="120" t="n"/>
      <c r="I847" s="117" t="n"/>
      <c r="J847" s="123" t="str">
        <f>IF(B847="","",IF(F847&lt;&gt;"",N(F847),ROUND(N(D847)*N(E847),2)))</f>
        <v/>
      </c>
      <c r="K847" s="123" t="str">
        <f>IF(B847="","",IF(H847&lt;&gt;"",N(H847),IF(B847="Dividendo",ROUND(J847*IFERROR(INDEX(Calcoli!$V$7:$V$21,MATCH(C847,Calcoli!$A$7:$A$21,0)),0.26),2),IF(B847="Vendita",ROUND(MAX(0,U847)*IFERROR(INDEX(Calcoli!$V$7:$V$21,MATCH(C847,Calcoli!$A$7:$A$21,0)),0.26),2),0))))</f>
        <v/>
      </c>
      <c r="L847" s="135" t="str">
        <f>IF(B847="","",IF(B847="Acquisto",-(J847+N(G847)),J847-N(G847)-K847))</f>
        <v/>
      </c>
      <c r="M847" s="127" t="str">
        <f>IF(B847="","",IF(ISNA(MATCH(C847,ETF!$A$7:$A$21,0)),"ETF?",IF(NOT(ISNUMBER(A847)),"Data?",IF(AND(B847&lt;&gt;"Dividendo",N(D847)&lt;=0),"Quote?",IF(AND(B847="Vendita",N(D847)&gt;N(Q847)+0.000001),"Quote?",IF(J847&lt;=0,"Importo?","✓"))))))</f>
        <v/>
      </c>
      <c r="N847" t="str">
        <f>IF(OR(B847="Acquisto",B847="Vendita"),COUNTIFS($C$5:C847,C847,$B$5:B847,"Acquisto")+COUNTIFS($C$5:C847,C847,$B$5:B847,"Vendita"),"")</f>
        <v/>
      </c>
      <c r="O847" t="str">
        <f>IF(N847="","",C847&amp;"|"&amp;N847)</f>
        <v/>
      </c>
      <c r="P847" t="str">
        <f>IF(N847="","",IF(N847=1,0,MATCH(C847&amp;"|"&amp;(N847-1),$O$5:$O$1004,0)))</f>
        <v/>
      </c>
      <c r="Q847" t="str">
        <f>IF(N847="","",IF(P847=0,SUMIFS(Calcoli!$C$7:$C$21,Calcoli!$A$7:$A$21,C847),INDEX($S$5:$S$1004,P847)))</f>
        <v/>
      </c>
      <c r="R847" t="str">
        <f>IF(N847="","",IF(P847=0,SUMIFS(Calcoli!$D$7:$D$21,Calcoli!$A$7:$A$21,C847),INDEX($T$5:$T$1004,P847)))</f>
        <v/>
      </c>
      <c r="S847" t="str">
        <f>IF(N847="","",IF(B847="Acquisto",Q847+N(D847),MAX(0,Q847-N(D847))))</f>
        <v/>
      </c>
      <c r="T847" t="str">
        <f>IF(N847="","",IF(B847="Acquisto",R847+J847+N(G847),IF(Q847&lt;=0,0,R847*(1-MIN(1,N(D847)/Q847)))))</f>
        <v/>
      </c>
      <c r="U847" t="str">
        <f>IF(B847&lt;&gt;"Vendita","",J847-N(G847)-IF(Q847&lt;=0,0,R847*MIN(1,N(D847)/Q847)))</f>
        <v/>
      </c>
      <c r="V847" t="str">
        <f>IF(B847&lt;&gt;"Dividendo","",IF(Calcoli!$B$251=1,J847,L847))</f>
        <v/>
      </c>
      <c r="W847" t="str">
        <f>IF(AND(V847&lt;&gt;"",ISNUMBER(A847)),A847,"")</f>
        <v/>
      </c>
    </row>
    <row r="848">
      <c r="A848" s="134" t="n"/>
      <c r="B848" s="116" t="n"/>
      <c r="C848" s="116" t="n"/>
      <c r="D848" s="121" t="n"/>
      <c r="E848" s="120" t="n"/>
      <c r="F848" s="120" t="n"/>
      <c r="G848" s="120" t="n"/>
      <c r="H848" s="120" t="n"/>
      <c r="I848" s="117" t="n"/>
      <c r="J848" s="123" t="str">
        <f>IF(B848="","",IF(F848&lt;&gt;"",N(F848),ROUND(N(D848)*N(E848),2)))</f>
        <v/>
      </c>
      <c r="K848" s="123" t="str">
        <f>IF(B848="","",IF(H848&lt;&gt;"",N(H848),IF(B848="Dividendo",ROUND(J848*IFERROR(INDEX(Calcoli!$V$7:$V$21,MATCH(C848,Calcoli!$A$7:$A$21,0)),0.26),2),IF(B848="Vendita",ROUND(MAX(0,U848)*IFERROR(INDEX(Calcoli!$V$7:$V$21,MATCH(C848,Calcoli!$A$7:$A$21,0)),0.26),2),0))))</f>
        <v/>
      </c>
      <c r="L848" s="135" t="str">
        <f>IF(B848="","",IF(B848="Acquisto",-(J848+N(G848)),J848-N(G848)-K848))</f>
        <v/>
      </c>
      <c r="M848" s="127" t="str">
        <f>IF(B848="","",IF(ISNA(MATCH(C848,ETF!$A$7:$A$21,0)),"ETF?",IF(NOT(ISNUMBER(A848)),"Data?",IF(AND(B848&lt;&gt;"Dividendo",N(D848)&lt;=0),"Quote?",IF(AND(B848="Vendita",N(D848)&gt;N(Q848)+0.000001),"Quote?",IF(J848&lt;=0,"Importo?","✓"))))))</f>
        <v/>
      </c>
      <c r="N848" t="str">
        <f>IF(OR(B848="Acquisto",B848="Vendita"),COUNTIFS($C$5:C848,C848,$B$5:B848,"Acquisto")+COUNTIFS($C$5:C848,C848,$B$5:B848,"Vendita"),"")</f>
        <v/>
      </c>
      <c r="O848" t="str">
        <f>IF(N848="","",C848&amp;"|"&amp;N848)</f>
        <v/>
      </c>
      <c r="P848" t="str">
        <f>IF(N848="","",IF(N848=1,0,MATCH(C848&amp;"|"&amp;(N848-1),$O$5:$O$1004,0)))</f>
        <v/>
      </c>
      <c r="Q848" t="str">
        <f>IF(N848="","",IF(P848=0,SUMIFS(Calcoli!$C$7:$C$21,Calcoli!$A$7:$A$21,C848),INDEX($S$5:$S$1004,P848)))</f>
        <v/>
      </c>
      <c r="R848" t="str">
        <f>IF(N848="","",IF(P848=0,SUMIFS(Calcoli!$D$7:$D$21,Calcoli!$A$7:$A$21,C848),INDEX($T$5:$T$1004,P848)))</f>
        <v/>
      </c>
      <c r="S848" t="str">
        <f>IF(N848="","",IF(B848="Acquisto",Q848+N(D848),MAX(0,Q848-N(D848))))</f>
        <v/>
      </c>
      <c r="T848" t="str">
        <f>IF(N848="","",IF(B848="Acquisto",R848+J848+N(G848),IF(Q848&lt;=0,0,R848*(1-MIN(1,N(D848)/Q848)))))</f>
        <v/>
      </c>
      <c r="U848" t="str">
        <f>IF(B848&lt;&gt;"Vendita","",J848-N(G848)-IF(Q848&lt;=0,0,R848*MIN(1,N(D848)/Q848)))</f>
        <v/>
      </c>
      <c r="V848" t="str">
        <f>IF(B848&lt;&gt;"Dividendo","",IF(Calcoli!$B$251=1,J848,L848))</f>
        <v/>
      </c>
      <c r="W848" t="str">
        <f>IF(AND(V848&lt;&gt;"",ISNUMBER(A848)),A848,"")</f>
        <v/>
      </c>
    </row>
    <row r="849">
      <c r="A849" s="134" t="n"/>
      <c r="B849" s="116" t="n"/>
      <c r="C849" s="116" t="n"/>
      <c r="D849" s="121" t="n"/>
      <c r="E849" s="120" t="n"/>
      <c r="F849" s="120" t="n"/>
      <c r="G849" s="120" t="n"/>
      <c r="H849" s="120" t="n"/>
      <c r="I849" s="117" t="n"/>
      <c r="J849" s="123" t="str">
        <f>IF(B849="","",IF(F849&lt;&gt;"",N(F849),ROUND(N(D849)*N(E849),2)))</f>
        <v/>
      </c>
      <c r="K849" s="123" t="str">
        <f>IF(B849="","",IF(H849&lt;&gt;"",N(H849),IF(B849="Dividendo",ROUND(J849*IFERROR(INDEX(Calcoli!$V$7:$V$21,MATCH(C849,Calcoli!$A$7:$A$21,0)),0.26),2),IF(B849="Vendita",ROUND(MAX(0,U849)*IFERROR(INDEX(Calcoli!$V$7:$V$21,MATCH(C849,Calcoli!$A$7:$A$21,0)),0.26),2),0))))</f>
        <v/>
      </c>
      <c r="L849" s="135" t="str">
        <f>IF(B849="","",IF(B849="Acquisto",-(J849+N(G849)),J849-N(G849)-K849))</f>
        <v/>
      </c>
      <c r="M849" s="127" t="str">
        <f>IF(B849="","",IF(ISNA(MATCH(C849,ETF!$A$7:$A$21,0)),"ETF?",IF(NOT(ISNUMBER(A849)),"Data?",IF(AND(B849&lt;&gt;"Dividendo",N(D849)&lt;=0),"Quote?",IF(AND(B849="Vendita",N(D849)&gt;N(Q849)+0.000001),"Quote?",IF(J849&lt;=0,"Importo?","✓"))))))</f>
        <v/>
      </c>
      <c r="N849" t="str">
        <f>IF(OR(B849="Acquisto",B849="Vendita"),COUNTIFS($C$5:C849,C849,$B$5:B849,"Acquisto")+COUNTIFS($C$5:C849,C849,$B$5:B849,"Vendita"),"")</f>
        <v/>
      </c>
      <c r="O849" t="str">
        <f>IF(N849="","",C849&amp;"|"&amp;N849)</f>
        <v/>
      </c>
      <c r="P849" t="str">
        <f>IF(N849="","",IF(N849=1,0,MATCH(C849&amp;"|"&amp;(N849-1),$O$5:$O$1004,0)))</f>
        <v/>
      </c>
      <c r="Q849" t="str">
        <f>IF(N849="","",IF(P849=0,SUMIFS(Calcoli!$C$7:$C$21,Calcoli!$A$7:$A$21,C849),INDEX($S$5:$S$1004,P849)))</f>
        <v/>
      </c>
      <c r="R849" t="str">
        <f>IF(N849="","",IF(P849=0,SUMIFS(Calcoli!$D$7:$D$21,Calcoli!$A$7:$A$21,C849),INDEX($T$5:$T$1004,P849)))</f>
        <v/>
      </c>
      <c r="S849" t="str">
        <f>IF(N849="","",IF(B849="Acquisto",Q849+N(D849),MAX(0,Q849-N(D849))))</f>
        <v/>
      </c>
      <c r="T849" t="str">
        <f>IF(N849="","",IF(B849="Acquisto",R849+J849+N(G849),IF(Q849&lt;=0,0,R849*(1-MIN(1,N(D849)/Q849)))))</f>
        <v/>
      </c>
      <c r="U849" t="str">
        <f>IF(B849&lt;&gt;"Vendita","",J849-N(G849)-IF(Q849&lt;=0,0,R849*MIN(1,N(D849)/Q849)))</f>
        <v/>
      </c>
      <c r="V849" t="str">
        <f>IF(B849&lt;&gt;"Dividendo","",IF(Calcoli!$B$251=1,J849,L849))</f>
        <v/>
      </c>
      <c r="W849" t="str">
        <f>IF(AND(V849&lt;&gt;"",ISNUMBER(A849)),A849,"")</f>
        <v/>
      </c>
    </row>
    <row r="850">
      <c r="A850" s="134" t="n"/>
      <c r="B850" s="116" t="n"/>
      <c r="C850" s="116" t="n"/>
      <c r="D850" s="121" t="n"/>
      <c r="E850" s="120" t="n"/>
      <c r="F850" s="120" t="n"/>
      <c r="G850" s="120" t="n"/>
      <c r="H850" s="120" t="n"/>
      <c r="I850" s="117" t="n"/>
      <c r="J850" s="123" t="str">
        <f>IF(B850="","",IF(F850&lt;&gt;"",N(F850),ROUND(N(D850)*N(E850),2)))</f>
        <v/>
      </c>
      <c r="K850" s="123" t="str">
        <f>IF(B850="","",IF(H850&lt;&gt;"",N(H850),IF(B850="Dividendo",ROUND(J850*IFERROR(INDEX(Calcoli!$V$7:$V$21,MATCH(C850,Calcoli!$A$7:$A$21,0)),0.26),2),IF(B850="Vendita",ROUND(MAX(0,U850)*IFERROR(INDEX(Calcoli!$V$7:$V$21,MATCH(C850,Calcoli!$A$7:$A$21,0)),0.26),2),0))))</f>
        <v/>
      </c>
      <c r="L850" s="135" t="str">
        <f>IF(B850="","",IF(B850="Acquisto",-(J850+N(G850)),J850-N(G850)-K850))</f>
        <v/>
      </c>
      <c r="M850" s="127" t="str">
        <f>IF(B850="","",IF(ISNA(MATCH(C850,ETF!$A$7:$A$21,0)),"ETF?",IF(NOT(ISNUMBER(A850)),"Data?",IF(AND(B850&lt;&gt;"Dividendo",N(D850)&lt;=0),"Quote?",IF(AND(B850="Vendita",N(D850)&gt;N(Q850)+0.000001),"Quote?",IF(J850&lt;=0,"Importo?","✓"))))))</f>
        <v/>
      </c>
      <c r="N850" t="str">
        <f>IF(OR(B850="Acquisto",B850="Vendita"),COUNTIFS($C$5:C850,C850,$B$5:B850,"Acquisto")+COUNTIFS($C$5:C850,C850,$B$5:B850,"Vendita"),"")</f>
        <v/>
      </c>
      <c r="O850" t="str">
        <f>IF(N850="","",C850&amp;"|"&amp;N850)</f>
        <v/>
      </c>
      <c r="P850" t="str">
        <f>IF(N850="","",IF(N850=1,0,MATCH(C850&amp;"|"&amp;(N850-1),$O$5:$O$1004,0)))</f>
        <v/>
      </c>
      <c r="Q850" t="str">
        <f>IF(N850="","",IF(P850=0,SUMIFS(Calcoli!$C$7:$C$21,Calcoli!$A$7:$A$21,C850),INDEX($S$5:$S$1004,P850)))</f>
        <v/>
      </c>
      <c r="R850" t="str">
        <f>IF(N850="","",IF(P850=0,SUMIFS(Calcoli!$D$7:$D$21,Calcoli!$A$7:$A$21,C850),INDEX($T$5:$T$1004,P850)))</f>
        <v/>
      </c>
      <c r="S850" t="str">
        <f>IF(N850="","",IF(B850="Acquisto",Q850+N(D850),MAX(0,Q850-N(D850))))</f>
        <v/>
      </c>
      <c r="T850" t="str">
        <f>IF(N850="","",IF(B850="Acquisto",R850+J850+N(G850),IF(Q850&lt;=0,0,R850*(1-MIN(1,N(D850)/Q850)))))</f>
        <v/>
      </c>
      <c r="U850" t="str">
        <f>IF(B850&lt;&gt;"Vendita","",J850-N(G850)-IF(Q850&lt;=0,0,R850*MIN(1,N(D850)/Q850)))</f>
        <v/>
      </c>
      <c r="V850" t="str">
        <f>IF(B850&lt;&gt;"Dividendo","",IF(Calcoli!$B$251=1,J850,L850))</f>
        <v/>
      </c>
      <c r="W850" t="str">
        <f>IF(AND(V850&lt;&gt;"",ISNUMBER(A850)),A850,"")</f>
        <v/>
      </c>
    </row>
    <row r="851">
      <c r="A851" s="134" t="n"/>
      <c r="B851" s="116" t="n"/>
      <c r="C851" s="116" t="n"/>
      <c r="D851" s="121" t="n"/>
      <c r="E851" s="120" t="n"/>
      <c r="F851" s="120" t="n"/>
      <c r="G851" s="120" t="n"/>
      <c r="H851" s="120" t="n"/>
      <c r="I851" s="117" t="n"/>
      <c r="J851" s="123" t="str">
        <f>IF(B851="","",IF(F851&lt;&gt;"",N(F851),ROUND(N(D851)*N(E851),2)))</f>
        <v/>
      </c>
      <c r="K851" s="123" t="str">
        <f>IF(B851="","",IF(H851&lt;&gt;"",N(H851),IF(B851="Dividendo",ROUND(J851*IFERROR(INDEX(Calcoli!$V$7:$V$21,MATCH(C851,Calcoli!$A$7:$A$21,0)),0.26),2),IF(B851="Vendita",ROUND(MAX(0,U851)*IFERROR(INDEX(Calcoli!$V$7:$V$21,MATCH(C851,Calcoli!$A$7:$A$21,0)),0.26),2),0))))</f>
        <v/>
      </c>
      <c r="L851" s="135" t="str">
        <f>IF(B851="","",IF(B851="Acquisto",-(J851+N(G851)),J851-N(G851)-K851))</f>
        <v/>
      </c>
      <c r="M851" s="127" t="str">
        <f>IF(B851="","",IF(ISNA(MATCH(C851,ETF!$A$7:$A$21,0)),"ETF?",IF(NOT(ISNUMBER(A851)),"Data?",IF(AND(B851&lt;&gt;"Dividendo",N(D851)&lt;=0),"Quote?",IF(AND(B851="Vendita",N(D851)&gt;N(Q851)+0.000001),"Quote?",IF(J851&lt;=0,"Importo?","✓"))))))</f>
        <v/>
      </c>
      <c r="N851" t="str">
        <f>IF(OR(B851="Acquisto",B851="Vendita"),COUNTIFS($C$5:C851,C851,$B$5:B851,"Acquisto")+COUNTIFS($C$5:C851,C851,$B$5:B851,"Vendita"),"")</f>
        <v/>
      </c>
      <c r="O851" t="str">
        <f>IF(N851="","",C851&amp;"|"&amp;N851)</f>
        <v/>
      </c>
      <c r="P851" t="str">
        <f>IF(N851="","",IF(N851=1,0,MATCH(C851&amp;"|"&amp;(N851-1),$O$5:$O$1004,0)))</f>
        <v/>
      </c>
      <c r="Q851" t="str">
        <f>IF(N851="","",IF(P851=0,SUMIFS(Calcoli!$C$7:$C$21,Calcoli!$A$7:$A$21,C851),INDEX($S$5:$S$1004,P851)))</f>
        <v/>
      </c>
      <c r="R851" t="str">
        <f>IF(N851="","",IF(P851=0,SUMIFS(Calcoli!$D$7:$D$21,Calcoli!$A$7:$A$21,C851),INDEX($T$5:$T$1004,P851)))</f>
        <v/>
      </c>
      <c r="S851" t="str">
        <f>IF(N851="","",IF(B851="Acquisto",Q851+N(D851),MAX(0,Q851-N(D851))))</f>
        <v/>
      </c>
      <c r="T851" t="str">
        <f>IF(N851="","",IF(B851="Acquisto",R851+J851+N(G851),IF(Q851&lt;=0,0,R851*(1-MIN(1,N(D851)/Q851)))))</f>
        <v/>
      </c>
      <c r="U851" t="str">
        <f>IF(B851&lt;&gt;"Vendita","",J851-N(G851)-IF(Q851&lt;=0,0,R851*MIN(1,N(D851)/Q851)))</f>
        <v/>
      </c>
      <c r="V851" t="str">
        <f>IF(B851&lt;&gt;"Dividendo","",IF(Calcoli!$B$251=1,J851,L851))</f>
        <v/>
      </c>
      <c r="W851" t="str">
        <f>IF(AND(V851&lt;&gt;"",ISNUMBER(A851)),A851,"")</f>
        <v/>
      </c>
    </row>
    <row r="852">
      <c r="A852" s="134" t="n"/>
      <c r="B852" s="116" t="n"/>
      <c r="C852" s="116" t="n"/>
      <c r="D852" s="121" t="n"/>
      <c r="E852" s="120" t="n"/>
      <c r="F852" s="120" t="n"/>
      <c r="G852" s="120" t="n"/>
      <c r="H852" s="120" t="n"/>
      <c r="I852" s="117" t="n"/>
      <c r="J852" s="123" t="str">
        <f>IF(B852="","",IF(F852&lt;&gt;"",N(F852),ROUND(N(D852)*N(E852),2)))</f>
        <v/>
      </c>
      <c r="K852" s="123" t="str">
        <f>IF(B852="","",IF(H852&lt;&gt;"",N(H852),IF(B852="Dividendo",ROUND(J852*IFERROR(INDEX(Calcoli!$V$7:$V$21,MATCH(C852,Calcoli!$A$7:$A$21,0)),0.26),2),IF(B852="Vendita",ROUND(MAX(0,U852)*IFERROR(INDEX(Calcoli!$V$7:$V$21,MATCH(C852,Calcoli!$A$7:$A$21,0)),0.26),2),0))))</f>
        <v/>
      </c>
      <c r="L852" s="135" t="str">
        <f>IF(B852="","",IF(B852="Acquisto",-(J852+N(G852)),J852-N(G852)-K852))</f>
        <v/>
      </c>
      <c r="M852" s="127" t="str">
        <f>IF(B852="","",IF(ISNA(MATCH(C852,ETF!$A$7:$A$21,0)),"ETF?",IF(NOT(ISNUMBER(A852)),"Data?",IF(AND(B852&lt;&gt;"Dividendo",N(D852)&lt;=0),"Quote?",IF(AND(B852="Vendita",N(D852)&gt;N(Q852)+0.000001),"Quote?",IF(J852&lt;=0,"Importo?","✓"))))))</f>
        <v/>
      </c>
      <c r="N852" t="str">
        <f>IF(OR(B852="Acquisto",B852="Vendita"),COUNTIFS($C$5:C852,C852,$B$5:B852,"Acquisto")+COUNTIFS($C$5:C852,C852,$B$5:B852,"Vendita"),"")</f>
        <v/>
      </c>
      <c r="O852" t="str">
        <f>IF(N852="","",C852&amp;"|"&amp;N852)</f>
        <v/>
      </c>
      <c r="P852" t="str">
        <f>IF(N852="","",IF(N852=1,0,MATCH(C852&amp;"|"&amp;(N852-1),$O$5:$O$1004,0)))</f>
        <v/>
      </c>
      <c r="Q852" t="str">
        <f>IF(N852="","",IF(P852=0,SUMIFS(Calcoli!$C$7:$C$21,Calcoli!$A$7:$A$21,C852),INDEX($S$5:$S$1004,P852)))</f>
        <v/>
      </c>
      <c r="R852" t="str">
        <f>IF(N852="","",IF(P852=0,SUMIFS(Calcoli!$D$7:$D$21,Calcoli!$A$7:$A$21,C852),INDEX($T$5:$T$1004,P852)))</f>
        <v/>
      </c>
      <c r="S852" t="str">
        <f>IF(N852="","",IF(B852="Acquisto",Q852+N(D852),MAX(0,Q852-N(D852))))</f>
        <v/>
      </c>
      <c r="T852" t="str">
        <f>IF(N852="","",IF(B852="Acquisto",R852+J852+N(G852),IF(Q852&lt;=0,0,R852*(1-MIN(1,N(D852)/Q852)))))</f>
        <v/>
      </c>
      <c r="U852" t="str">
        <f>IF(B852&lt;&gt;"Vendita","",J852-N(G852)-IF(Q852&lt;=0,0,R852*MIN(1,N(D852)/Q852)))</f>
        <v/>
      </c>
      <c r="V852" t="str">
        <f>IF(B852&lt;&gt;"Dividendo","",IF(Calcoli!$B$251=1,J852,L852))</f>
        <v/>
      </c>
      <c r="W852" t="str">
        <f>IF(AND(V852&lt;&gt;"",ISNUMBER(A852)),A852,"")</f>
        <v/>
      </c>
    </row>
    <row r="853">
      <c r="A853" s="134" t="n"/>
      <c r="B853" s="116" t="n"/>
      <c r="C853" s="116" t="n"/>
      <c r="D853" s="121" t="n"/>
      <c r="E853" s="120" t="n"/>
      <c r="F853" s="120" t="n"/>
      <c r="G853" s="120" t="n"/>
      <c r="H853" s="120" t="n"/>
      <c r="I853" s="117" t="n"/>
      <c r="J853" s="123" t="str">
        <f>IF(B853="","",IF(F853&lt;&gt;"",N(F853),ROUND(N(D853)*N(E853),2)))</f>
        <v/>
      </c>
      <c r="K853" s="123" t="str">
        <f>IF(B853="","",IF(H853&lt;&gt;"",N(H853),IF(B853="Dividendo",ROUND(J853*IFERROR(INDEX(Calcoli!$V$7:$V$21,MATCH(C853,Calcoli!$A$7:$A$21,0)),0.26),2),IF(B853="Vendita",ROUND(MAX(0,U853)*IFERROR(INDEX(Calcoli!$V$7:$V$21,MATCH(C853,Calcoli!$A$7:$A$21,0)),0.26),2),0))))</f>
        <v/>
      </c>
      <c r="L853" s="135" t="str">
        <f>IF(B853="","",IF(B853="Acquisto",-(J853+N(G853)),J853-N(G853)-K853))</f>
        <v/>
      </c>
      <c r="M853" s="127" t="str">
        <f>IF(B853="","",IF(ISNA(MATCH(C853,ETF!$A$7:$A$21,0)),"ETF?",IF(NOT(ISNUMBER(A853)),"Data?",IF(AND(B853&lt;&gt;"Dividendo",N(D853)&lt;=0),"Quote?",IF(AND(B853="Vendita",N(D853)&gt;N(Q853)+0.000001),"Quote?",IF(J853&lt;=0,"Importo?","✓"))))))</f>
        <v/>
      </c>
      <c r="N853" t="str">
        <f>IF(OR(B853="Acquisto",B853="Vendita"),COUNTIFS($C$5:C853,C853,$B$5:B853,"Acquisto")+COUNTIFS($C$5:C853,C853,$B$5:B853,"Vendita"),"")</f>
        <v/>
      </c>
      <c r="O853" t="str">
        <f>IF(N853="","",C853&amp;"|"&amp;N853)</f>
        <v/>
      </c>
      <c r="P853" t="str">
        <f>IF(N853="","",IF(N853=1,0,MATCH(C853&amp;"|"&amp;(N853-1),$O$5:$O$1004,0)))</f>
        <v/>
      </c>
      <c r="Q853" t="str">
        <f>IF(N853="","",IF(P853=0,SUMIFS(Calcoli!$C$7:$C$21,Calcoli!$A$7:$A$21,C853),INDEX($S$5:$S$1004,P853)))</f>
        <v/>
      </c>
      <c r="R853" t="str">
        <f>IF(N853="","",IF(P853=0,SUMIFS(Calcoli!$D$7:$D$21,Calcoli!$A$7:$A$21,C853),INDEX($T$5:$T$1004,P853)))</f>
        <v/>
      </c>
      <c r="S853" t="str">
        <f>IF(N853="","",IF(B853="Acquisto",Q853+N(D853),MAX(0,Q853-N(D853))))</f>
        <v/>
      </c>
      <c r="T853" t="str">
        <f>IF(N853="","",IF(B853="Acquisto",R853+J853+N(G853),IF(Q853&lt;=0,0,R853*(1-MIN(1,N(D853)/Q853)))))</f>
        <v/>
      </c>
      <c r="U853" t="str">
        <f>IF(B853&lt;&gt;"Vendita","",J853-N(G853)-IF(Q853&lt;=0,0,R853*MIN(1,N(D853)/Q853)))</f>
        <v/>
      </c>
      <c r="V853" t="str">
        <f>IF(B853&lt;&gt;"Dividendo","",IF(Calcoli!$B$251=1,J853,L853))</f>
        <v/>
      </c>
      <c r="W853" t="str">
        <f>IF(AND(V853&lt;&gt;"",ISNUMBER(A853)),A853,"")</f>
        <v/>
      </c>
    </row>
    <row r="854">
      <c r="A854" s="134" t="n"/>
      <c r="B854" s="116" t="n"/>
      <c r="C854" s="116" t="n"/>
      <c r="D854" s="121" t="n"/>
      <c r="E854" s="120" t="n"/>
      <c r="F854" s="120" t="n"/>
      <c r="G854" s="120" t="n"/>
      <c r="H854" s="120" t="n"/>
      <c r="I854" s="117" t="n"/>
      <c r="J854" s="123" t="str">
        <f>IF(B854="","",IF(F854&lt;&gt;"",N(F854),ROUND(N(D854)*N(E854),2)))</f>
        <v/>
      </c>
      <c r="K854" s="123" t="str">
        <f>IF(B854="","",IF(H854&lt;&gt;"",N(H854),IF(B854="Dividendo",ROUND(J854*IFERROR(INDEX(Calcoli!$V$7:$V$21,MATCH(C854,Calcoli!$A$7:$A$21,0)),0.26),2),IF(B854="Vendita",ROUND(MAX(0,U854)*IFERROR(INDEX(Calcoli!$V$7:$V$21,MATCH(C854,Calcoli!$A$7:$A$21,0)),0.26),2),0))))</f>
        <v/>
      </c>
      <c r="L854" s="135" t="str">
        <f>IF(B854="","",IF(B854="Acquisto",-(J854+N(G854)),J854-N(G854)-K854))</f>
        <v/>
      </c>
      <c r="M854" s="127" t="str">
        <f>IF(B854="","",IF(ISNA(MATCH(C854,ETF!$A$7:$A$21,0)),"ETF?",IF(NOT(ISNUMBER(A854)),"Data?",IF(AND(B854&lt;&gt;"Dividendo",N(D854)&lt;=0),"Quote?",IF(AND(B854="Vendita",N(D854)&gt;N(Q854)+0.000001),"Quote?",IF(J854&lt;=0,"Importo?","✓"))))))</f>
        <v/>
      </c>
      <c r="N854" t="str">
        <f>IF(OR(B854="Acquisto",B854="Vendita"),COUNTIFS($C$5:C854,C854,$B$5:B854,"Acquisto")+COUNTIFS($C$5:C854,C854,$B$5:B854,"Vendita"),"")</f>
        <v/>
      </c>
      <c r="O854" t="str">
        <f>IF(N854="","",C854&amp;"|"&amp;N854)</f>
        <v/>
      </c>
      <c r="P854" t="str">
        <f>IF(N854="","",IF(N854=1,0,MATCH(C854&amp;"|"&amp;(N854-1),$O$5:$O$1004,0)))</f>
        <v/>
      </c>
      <c r="Q854" t="str">
        <f>IF(N854="","",IF(P854=0,SUMIFS(Calcoli!$C$7:$C$21,Calcoli!$A$7:$A$21,C854),INDEX($S$5:$S$1004,P854)))</f>
        <v/>
      </c>
      <c r="R854" t="str">
        <f>IF(N854="","",IF(P854=0,SUMIFS(Calcoli!$D$7:$D$21,Calcoli!$A$7:$A$21,C854),INDEX($T$5:$T$1004,P854)))</f>
        <v/>
      </c>
      <c r="S854" t="str">
        <f>IF(N854="","",IF(B854="Acquisto",Q854+N(D854),MAX(0,Q854-N(D854))))</f>
        <v/>
      </c>
      <c r="T854" t="str">
        <f>IF(N854="","",IF(B854="Acquisto",R854+J854+N(G854),IF(Q854&lt;=0,0,R854*(1-MIN(1,N(D854)/Q854)))))</f>
        <v/>
      </c>
      <c r="U854" t="str">
        <f>IF(B854&lt;&gt;"Vendita","",J854-N(G854)-IF(Q854&lt;=0,0,R854*MIN(1,N(D854)/Q854)))</f>
        <v/>
      </c>
      <c r="V854" t="str">
        <f>IF(B854&lt;&gt;"Dividendo","",IF(Calcoli!$B$251=1,J854,L854))</f>
        <v/>
      </c>
      <c r="W854" t="str">
        <f>IF(AND(V854&lt;&gt;"",ISNUMBER(A854)),A854,"")</f>
        <v/>
      </c>
    </row>
    <row r="855">
      <c r="A855" s="134" t="n"/>
      <c r="B855" s="116" t="n"/>
      <c r="C855" s="116" t="n"/>
      <c r="D855" s="121" t="n"/>
      <c r="E855" s="120" t="n"/>
      <c r="F855" s="120" t="n"/>
      <c r="G855" s="120" t="n"/>
      <c r="H855" s="120" t="n"/>
      <c r="I855" s="117" t="n"/>
      <c r="J855" s="123" t="str">
        <f>IF(B855="","",IF(F855&lt;&gt;"",N(F855),ROUND(N(D855)*N(E855),2)))</f>
        <v/>
      </c>
      <c r="K855" s="123" t="str">
        <f>IF(B855="","",IF(H855&lt;&gt;"",N(H855),IF(B855="Dividendo",ROUND(J855*IFERROR(INDEX(Calcoli!$V$7:$V$21,MATCH(C855,Calcoli!$A$7:$A$21,0)),0.26),2),IF(B855="Vendita",ROUND(MAX(0,U855)*IFERROR(INDEX(Calcoli!$V$7:$V$21,MATCH(C855,Calcoli!$A$7:$A$21,0)),0.26),2),0))))</f>
        <v/>
      </c>
      <c r="L855" s="135" t="str">
        <f>IF(B855="","",IF(B855="Acquisto",-(J855+N(G855)),J855-N(G855)-K855))</f>
        <v/>
      </c>
      <c r="M855" s="127" t="str">
        <f>IF(B855="","",IF(ISNA(MATCH(C855,ETF!$A$7:$A$21,0)),"ETF?",IF(NOT(ISNUMBER(A855)),"Data?",IF(AND(B855&lt;&gt;"Dividendo",N(D855)&lt;=0),"Quote?",IF(AND(B855="Vendita",N(D855)&gt;N(Q855)+0.000001),"Quote?",IF(J855&lt;=0,"Importo?","✓"))))))</f>
        <v/>
      </c>
      <c r="N855" t="str">
        <f>IF(OR(B855="Acquisto",B855="Vendita"),COUNTIFS($C$5:C855,C855,$B$5:B855,"Acquisto")+COUNTIFS($C$5:C855,C855,$B$5:B855,"Vendita"),"")</f>
        <v/>
      </c>
      <c r="O855" t="str">
        <f>IF(N855="","",C855&amp;"|"&amp;N855)</f>
        <v/>
      </c>
      <c r="P855" t="str">
        <f>IF(N855="","",IF(N855=1,0,MATCH(C855&amp;"|"&amp;(N855-1),$O$5:$O$1004,0)))</f>
        <v/>
      </c>
      <c r="Q855" t="str">
        <f>IF(N855="","",IF(P855=0,SUMIFS(Calcoli!$C$7:$C$21,Calcoli!$A$7:$A$21,C855),INDEX($S$5:$S$1004,P855)))</f>
        <v/>
      </c>
      <c r="R855" t="str">
        <f>IF(N855="","",IF(P855=0,SUMIFS(Calcoli!$D$7:$D$21,Calcoli!$A$7:$A$21,C855),INDEX($T$5:$T$1004,P855)))</f>
        <v/>
      </c>
      <c r="S855" t="str">
        <f>IF(N855="","",IF(B855="Acquisto",Q855+N(D855),MAX(0,Q855-N(D855))))</f>
        <v/>
      </c>
      <c r="T855" t="str">
        <f>IF(N855="","",IF(B855="Acquisto",R855+J855+N(G855),IF(Q855&lt;=0,0,R855*(1-MIN(1,N(D855)/Q855)))))</f>
        <v/>
      </c>
      <c r="U855" t="str">
        <f>IF(B855&lt;&gt;"Vendita","",J855-N(G855)-IF(Q855&lt;=0,0,R855*MIN(1,N(D855)/Q855)))</f>
        <v/>
      </c>
      <c r="V855" t="str">
        <f>IF(B855&lt;&gt;"Dividendo","",IF(Calcoli!$B$251=1,J855,L855))</f>
        <v/>
      </c>
      <c r="W855" t="str">
        <f>IF(AND(V855&lt;&gt;"",ISNUMBER(A855)),A855,"")</f>
        <v/>
      </c>
    </row>
    <row r="856">
      <c r="A856" s="134" t="n"/>
      <c r="B856" s="116" t="n"/>
      <c r="C856" s="116" t="n"/>
      <c r="D856" s="121" t="n"/>
      <c r="E856" s="120" t="n"/>
      <c r="F856" s="120" t="n"/>
      <c r="G856" s="120" t="n"/>
      <c r="H856" s="120" t="n"/>
      <c r="I856" s="117" t="n"/>
      <c r="J856" s="123" t="str">
        <f>IF(B856="","",IF(F856&lt;&gt;"",N(F856),ROUND(N(D856)*N(E856),2)))</f>
        <v/>
      </c>
      <c r="K856" s="123" t="str">
        <f>IF(B856="","",IF(H856&lt;&gt;"",N(H856),IF(B856="Dividendo",ROUND(J856*IFERROR(INDEX(Calcoli!$V$7:$V$21,MATCH(C856,Calcoli!$A$7:$A$21,0)),0.26),2),IF(B856="Vendita",ROUND(MAX(0,U856)*IFERROR(INDEX(Calcoli!$V$7:$V$21,MATCH(C856,Calcoli!$A$7:$A$21,0)),0.26),2),0))))</f>
        <v/>
      </c>
      <c r="L856" s="135" t="str">
        <f>IF(B856="","",IF(B856="Acquisto",-(J856+N(G856)),J856-N(G856)-K856))</f>
        <v/>
      </c>
      <c r="M856" s="127" t="str">
        <f>IF(B856="","",IF(ISNA(MATCH(C856,ETF!$A$7:$A$21,0)),"ETF?",IF(NOT(ISNUMBER(A856)),"Data?",IF(AND(B856&lt;&gt;"Dividendo",N(D856)&lt;=0),"Quote?",IF(AND(B856="Vendita",N(D856)&gt;N(Q856)+0.000001),"Quote?",IF(J856&lt;=0,"Importo?","✓"))))))</f>
        <v/>
      </c>
      <c r="N856" t="str">
        <f>IF(OR(B856="Acquisto",B856="Vendita"),COUNTIFS($C$5:C856,C856,$B$5:B856,"Acquisto")+COUNTIFS($C$5:C856,C856,$B$5:B856,"Vendita"),"")</f>
        <v/>
      </c>
      <c r="O856" t="str">
        <f>IF(N856="","",C856&amp;"|"&amp;N856)</f>
        <v/>
      </c>
      <c r="P856" t="str">
        <f>IF(N856="","",IF(N856=1,0,MATCH(C856&amp;"|"&amp;(N856-1),$O$5:$O$1004,0)))</f>
        <v/>
      </c>
      <c r="Q856" t="str">
        <f>IF(N856="","",IF(P856=0,SUMIFS(Calcoli!$C$7:$C$21,Calcoli!$A$7:$A$21,C856),INDEX($S$5:$S$1004,P856)))</f>
        <v/>
      </c>
      <c r="R856" t="str">
        <f>IF(N856="","",IF(P856=0,SUMIFS(Calcoli!$D$7:$D$21,Calcoli!$A$7:$A$21,C856),INDEX($T$5:$T$1004,P856)))</f>
        <v/>
      </c>
      <c r="S856" t="str">
        <f>IF(N856="","",IF(B856="Acquisto",Q856+N(D856),MAX(0,Q856-N(D856))))</f>
        <v/>
      </c>
      <c r="T856" t="str">
        <f>IF(N856="","",IF(B856="Acquisto",R856+J856+N(G856),IF(Q856&lt;=0,0,R856*(1-MIN(1,N(D856)/Q856)))))</f>
        <v/>
      </c>
      <c r="U856" t="str">
        <f>IF(B856&lt;&gt;"Vendita","",J856-N(G856)-IF(Q856&lt;=0,0,R856*MIN(1,N(D856)/Q856)))</f>
        <v/>
      </c>
      <c r="V856" t="str">
        <f>IF(B856&lt;&gt;"Dividendo","",IF(Calcoli!$B$251=1,J856,L856))</f>
        <v/>
      </c>
      <c r="W856" t="str">
        <f>IF(AND(V856&lt;&gt;"",ISNUMBER(A856)),A856,"")</f>
        <v/>
      </c>
    </row>
    <row r="857">
      <c r="A857" s="134" t="n"/>
      <c r="B857" s="116" t="n"/>
      <c r="C857" s="116" t="n"/>
      <c r="D857" s="121" t="n"/>
      <c r="E857" s="120" t="n"/>
      <c r="F857" s="120" t="n"/>
      <c r="G857" s="120" t="n"/>
      <c r="H857" s="120" t="n"/>
      <c r="I857" s="117" t="n"/>
      <c r="J857" s="123" t="str">
        <f>IF(B857="","",IF(F857&lt;&gt;"",N(F857),ROUND(N(D857)*N(E857),2)))</f>
        <v/>
      </c>
      <c r="K857" s="123" t="str">
        <f>IF(B857="","",IF(H857&lt;&gt;"",N(H857),IF(B857="Dividendo",ROUND(J857*IFERROR(INDEX(Calcoli!$V$7:$V$21,MATCH(C857,Calcoli!$A$7:$A$21,0)),0.26),2),IF(B857="Vendita",ROUND(MAX(0,U857)*IFERROR(INDEX(Calcoli!$V$7:$V$21,MATCH(C857,Calcoli!$A$7:$A$21,0)),0.26),2),0))))</f>
        <v/>
      </c>
      <c r="L857" s="135" t="str">
        <f>IF(B857="","",IF(B857="Acquisto",-(J857+N(G857)),J857-N(G857)-K857))</f>
        <v/>
      </c>
      <c r="M857" s="127" t="str">
        <f>IF(B857="","",IF(ISNA(MATCH(C857,ETF!$A$7:$A$21,0)),"ETF?",IF(NOT(ISNUMBER(A857)),"Data?",IF(AND(B857&lt;&gt;"Dividendo",N(D857)&lt;=0),"Quote?",IF(AND(B857="Vendita",N(D857)&gt;N(Q857)+0.000001),"Quote?",IF(J857&lt;=0,"Importo?","✓"))))))</f>
        <v/>
      </c>
      <c r="N857" t="str">
        <f>IF(OR(B857="Acquisto",B857="Vendita"),COUNTIFS($C$5:C857,C857,$B$5:B857,"Acquisto")+COUNTIFS($C$5:C857,C857,$B$5:B857,"Vendita"),"")</f>
        <v/>
      </c>
      <c r="O857" t="str">
        <f>IF(N857="","",C857&amp;"|"&amp;N857)</f>
        <v/>
      </c>
      <c r="P857" t="str">
        <f>IF(N857="","",IF(N857=1,0,MATCH(C857&amp;"|"&amp;(N857-1),$O$5:$O$1004,0)))</f>
        <v/>
      </c>
      <c r="Q857" t="str">
        <f>IF(N857="","",IF(P857=0,SUMIFS(Calcoli!$C$7:$C$21,Calcoli!$A$7:$A$21,C857),INDEX($S$5:$S$1004,P857)))</f>
        <v/>
      </c>
      <c r="R857" t="str">
        <f>IF(N857="","",IF(P857=0,SUMIFS(Calcoli!$D$7:$D$21,Calcoli!$A$7:$A$21,C857),INDEX($T$5:$T$1004,P857)))</f>
        <v/>
      </c>
      <c r="S857" t="str">
        <f>IF(N857="","",IF(B857="Acquisto",Q857+N(D857),MAX(0,Q857-N(D857))))</f>
        <v/>
      </c>
      <c r="T857" t="str">
        <f>IF(N857="","",IF(B857="Acquisto",R857+J857+N(G857),IF(Q857&lt;=0,0,R857*(1-MIN(1,N(D857)/Q857)))))</f>
        <v/>
      </c>
      <c r="U857" t="str">
        <f>IF(B857&lt;&gt;"Vendita","",J857-N(G857)-IF(Q857&lt;=0,0,R857*MIN(1,N(D857)/Q857)))</f>
        <v/>
      </c>
      <c r="V857" t="str">
        <f>IF(B857&lt;&gt;"Dividendo","",IF(Calcoli!$B$251=1,J857,L857))</f>
        <v/>
      </c>
      <c r="W857" t="str">
        <f>IF(AND(V857&lt;&gt;"",ISNUMBER(A857)),A857,"")</f>
        <v/>
      </c>
    </row>
    <row r="858">
      <c r="A858" s="134" t="n"/>
      <c r="B858" s="116" t="n"/>
      <c r="C858" s="116" t="n"/>
      <c r="D858" s="121" t="n"/>
      <c r="E858" s="120" t="n"/>
      <c r="F858" s="120" t="n"/>
      <c r="G858" s="120" t="n"/>
      <c r="H858" s="120" t="n"/>
      <c r="I858" s="117" t="n"/>
      <c r="J858" s="123" t="str">
        <f>IF(B858="","",IF(F858&lt;&gt;"",N(F858),ROUND(N(D858)*N(E858),2)))</f>
        <v/>
      </c>
      <c r="K858" s="123" t="str">
        <f>IF(B858="","",IF(H858&lt;&gt;"",N(H858),IF(B858="Dividendo",ROUND(J858*IFERROR(INDEX(Calcoli!$V$7:$V$21,MATCH(C858,Calcoli!$A$7:$A$21,0)),0.26),2),IF(B858="Vendita",ROUND(MAX(0,U858)*IFERROR(INDEX(Calcoli!$V$7:$V$21,MATCH(C858,Calcoli!$A$7:$A$21,0)),0.26),2),0))))</f>
        <v/>
      </c>
      <c r="L858" s="135" t="str">
        <f>IF(B858="","",IF(B858="Acquisto",-(J858+N(G858)),J858-N(G858)-K858))</f>
        <v/>
      </c>
      <c r="M858" s="127" t="str">
        <f>IF(B858="","",IF(ISNA(MATCH(C858,ETF!$A$7:$A$21,0)),"ETF?",IF(NOT(ISNUMBER(A858)),"Data?",IF(AND(B858&lt;&gt;"Dividendo",N(D858)&lt;=0),"Quote?",IF(AND(B858="Vendita",N(D858)&gt;N(Q858)+0.000001),"Quote?",IF(J858&lt;=0,"Importo?","✓"))))))</f>
        <v/>
      </c>
      <c r="N858" t="str">
        <f>IF(OR(B858="Acquisto",B858="Vendita"),COUNTIFS($C$5:C858,C858,$B$5:B858,"Acquisto")+COUNTIFS($C$5:C858,C858,$B$5:B858,"Vendita"),"")</f>
        <v/>
      </c>
      <c r="O858" t="str">
        <f>IF(N858="","",C858&amp;"|"&amp;N858)</f>
        <v/>
      </c>
      <c r="P858" t="str">
        <f>IF(N858="","",IF(N858=1,0,MATCH(C858&amp;"|"&amp;(N858-1),$O$5:$O$1004,0)))</f>
        <v/>
      </c>
      <c r="Q858" t="str">
        <f>IF(N858="","",IF(P858=0,SUMIFS(Calcoli!$C$7:$C$21,Calcoli!$A$7:$A$21,C858),INDEX($S$5:$S$1004,P858)))</f>
        <v/>
      </c>
      <c r="R858" t="str">
        <f>IF(N858="","",IF(P858=0,SUMIFS(Calcoli!$D$7:$D$21,Calcoli!$A$7:$A$21,C858),INDEX($T$5:$T$1004,P858)))</f>
        <v/>
      </c>
      <c r="S858" t="str">
        <f>IF(N858="","",IF(B858="Acquisto",Q858+N(D858),MAX(0,Q858-N(D858))))</f>
        <v/>
      </c>
      <c r="T858" t="str">
        <f>IF(N858="","",IF(B858="Acquisto",R858+J858+N(G858),IF(Q858&lt;=0,0,R858*(1-MIN(1,N(D858)/Q858)))))</f>
        <v/>
      </c>
      <c r="U858" t="str">
        <f>IF(B858&lt;&gt;"Vendita","",J858-N(G858)-IF(Q858&lt;=0,0,R858*MIN(1,N(D858)/Q858)))</f>
        <v/>
      </c>
      <c r="V858" t="str">
        <f>IF(B858&lt;&gt;"Dividendo","",IF(Calcoli!$B$251=1,J858,L858))</f>
        <v/>
      </c>
      <c r="W858" t="str">
        <f>IF(AND(V858&lt;&gt;"",ISNUMBER(A858)),A858,"")</f>
        <v/>
      </c>
    </row>
    <row r="859">
      <c r="A859" s="134" t="n"/>
      <c r="B859" s="116" t="n"/>
      <c r="C859" s="116" t="n"/>
      <c r="D859" s="121" t="n"/>
      <c r="E859" s="120" t="n"/>
      <c r="F859" s="120" t="n"/>
      <c r="G859" s="120" t="n"/>
      <c r="H859" s="120" t="n"/>
      <c r="I859" s="117" t="n"/>
      <c r="J859" s="123" t="str">
        <f>IF(B859="","",IF(F859&lt;&gt;"",N(F859),ROUND(N(D859)*N(E859),2)))</f>
        <v/>
      </c>
      <c r="K859" s="123" t="str">
        <f>IF(B859="","",IF(H859&lt;&gt;"",N(H859),IF(B859="Dividendo",ROUND(J859*IFERROR(INDEX(Calcoli!$V$7:$V$21,MATCH(C859,Calcoli!$A$7:$A$21,0)),0.26),2),IF(B859="Vendita",ROUND(MAX(0,U859)*IFERROR(INDEX(Calcoli!$V$7:$V$21,MATCH(C859,Calcoli!$A$7:$A$21,0)),0.26),2),0))))</f>
        <v/>
      </c>
      <c r="L859" s="135" t="str">
        <f>IF(B859="","",IF(B859="Acquisto",-(J859+N(G859)),J859-N(G859)-K859))</f>
        <v/>
      </c>
      <c r="M859" s="127" t="str">
        <f>IF(B859="","",IF(ISNA(MATCH(C859,ETF!$A$7:$A$21,0)),"ETF?",IF(NOT(ISNUMBER(A859)),"Data?",IF(AND(B859&lt;&gt;"Dividendo",N(D859)&lt;=0),"Quote?",IF(AND(B859="Vendita",N(D859)&gt;N(Q859)+0.000001),"Quote?",IF(J859&lt;=0,"Importo?","✓"))))))</f>
        <v/>
      </c>
      <c r="N859" t="str">
        <f>IF(OR(B859="Acquisto",B859="Vendita"),COUNTIFS($C$5:C859,C859,$B$5:B859,"Acquisto")+COUNTIFS($C$5:C859,C859,$B$5:B859,"Vendita"),"")</f>
        <v/>
      </c>
      <c r="O859" t="str">
        <f>IF(N859="","",C859&amp;"|"&amp;N859)</f>
        <v/>
      </c>
      <c r="P859" t="str">
        <f>IF(N859="","",IF(N859=1,0,MATCH(C859&amp;"|"&amp;(N859-1),$O$5:$O$1004,0)))</f>
        <v/>
      </c>
      <c r="Q859" t="str">
        <f>IF(N859="","",IF(P859=0,SUMIFS(Calcoli!$C$7:$C$21,Calcoli!$A$7:$A$21,C859),INDEX($S$5:$S$1004,P859)))</f>
        <v/>
      </c>
      <c r="R859" t="str">
        <f>IF(N859="","",IF(P859=0,SUMIFS(Calcoli!$D$7:$D$21,Calcoli!$A$7:$A$21,C859),INDEX($T$5:$T$1004,P859)))</f>
        <v/>
      </c>
      <c r="S859" t="str">
        <f>IF(N859="","",IF(B859="Acquisto",Q859+N(D859),MAX(0,Q859-N(D859))))</f>
        <v/>
      </c>
      <c r="T859" t="str">
        <f>IF(N859="","",IF(B859="Acquisto",R859+J859+N(G859),IF(Q859&lt;=0,0,R859*(1-MIN(1,N(D859)/Q859)))))</f>
        <v/>
      </c>
      <c r="U859" t="str">
        <f>IF(B859&lt;&gt;"Vendita","",J859-N(G859)-IF(Q859&lt;=0,0,R859*MIN(1,N(D859)/Q859)))</f>
        <v/>
      </c>
      <c r="V859" t="str">
        <f>IF(B859&lt;&gt;"Dividendo","",IF(Calcoli!$B$251=1,J859,L859))</f>
        <v/>
      </c>
      <c r="W859" t="str">
        <f>IF(AND(V859&lt;&gt;"",ISNUMBER(A859)),A859,"")</f>
        <v/>
      </c>
    </row>
    <row r="860">
      <c r="A860" s="134" t="n"/>
      <c r="B860" s="116" t="n"/>
      <c r="C860" s="116" t="n"/>
      <c r="D860" s="121" t="n"/>
      <c r="E860" s="120" t="n"/>
      <c r="F860" s="120" t="n"/>
      <c r="G860" s="120" t="n"/>
      <c r="H860" s="120" t="n"/>
      <c r="I860" s="117" t="n"/>
      <c r="J860" s="123" t="str">
        <f>IF(B860="","",IF(F860&lt;&gt;"",N(F860),ROUND(N(D860)*N(E860),2)))</f>
        <v/>
      </c>
      <c r="K860" s="123" t="str">
        <f>IF(B860="","",IF(H860&lt;&gt;"",N(H860),IF(B860="Dividendo",ROUND(J860*IFERROR(INDEX(Calcoli!$V$7:$V$21,MATCH(C860,Calcoli!$A$7:$A$21,0)),0.26),2),IF(B860="Vendita",ROUND(MAX(0,U860)*IFERROR(INDEX(Calcoli!$V$7:$V$21,MATCH(C860,Calcoli!$A$7:$A$21,0)),0.26),2),0))))</f>
        <v/>
      </c>
      <c r="L860" s="135" t="str">
        <f>IF(B860="","",IF(B860="Acquisto",-(J860+N(G860)),J860-N(G860)-K860))</f>
        <v/>
      </c>
      <c r="M860" s="127" t="str">
        <f>IF(B860="","",IF(ISNA(MATCH(C860,ETF!$A$7:$A$21,0)),"ETF?",IF(NOT(ISNUMBER(A860)),"Data?",IF(AND(B860&lt;&gt;"Dividendo",N(D860)&lt;=0),"Quote?",IF(AND(B860="Vendita",N(D860)&gt;N(Q860)+0.000001),"Quote?",IF(J860&lt;=0,"Importo?","✓"))))))</f>
        <v/>
      </c>
      <c r="N860" t="str">
        <f>IF(OR(B860="Acquisto",B860="Vendita"),COUNTIFS($C$5:C860,C860,$B$5:B860,"Acquisto")+COUNTIFS($C$5:C860,C860,$B$5:B860,"Vendita"),"")</f>
        <v/>
      </c>
      <c r="O860" t="str">
        <f>IF(N860="","",C860&amp;"|"&amp;N860)</f>
        <v/>
      </c>
      <c r="P860" t="str">
        <f>IF(N860="","",IF(N860=1,0,MATCH(C860&amp;"|"&amp;(N860-1),$O$5:$O$1004,0)))</f>
        <v/>
      </c>
      <c r="Q860" t="str">
        <f>IF(N860="","",IF(P860=0,SUMIFS(Calcoli!$C$7:$C$21,Calcoli!$A$7:$A$21,C860),INDEX($S$5:$S$1004,P860)))</f>
        <v/>
      </c>
      <c r="R860" t="str">
        <f>IF(N860="","",IF(P860=0,SUMIFS(Calcoli!$D$7:$D$21,Calcoli!$A$7:$A$21,C860),INDEX($T$5:$T$1004,P860)))</f>
        <v/>
      </c>
      <c r="S860" t="str">
        <f>IF(N860="","",IF(B860="Acquisto",Q860+N(D860),MAX(0,Q860-N(D860))))</f>
        <v/>
      </c>
      <c r="T860" t="str">
        <f>IF(N860="","",IF(B860="Acquisto",R860+J860+N(G860),IF(Q860&lt;=0,0,R860*(1-MIN(1,N(D860)/Q860)))))</f>
        <v/>
      </c>
      <c r="U860" t="str">
        <f>IF(B860&lt;&gt;"Vendita","",J860-N(G860)-IF(Q860&lt;=0,0,R860*MIN(1,N(D860)/Q860)))</f>
        <v/>
      </c>
      <c r="V860" t="str">
        <f>IF(B860&lt;&gt;"Dividendo","",IF(Calcoli!$B$251=1,J860,L860))</f>
        <v/>
      </c>
      <c r="W860" t="str">
        <f>IF(AND(V860&lt;&gt;"",ISNUMBER(A860)),A860,"")</f>
        <v/>
      </c>
    </row>
    <row r="861">
      <c r="A861" s="134" t="n"/>
      <c r="B861" s="116" t="n"/>
      <c r="C861" s="116" t="n"/>
      <c r="D861" s="121" t="n"/>
      <c r="E861" s="120" t="n"/>
      <c r="F861" s="120" t="n"/>
      <c r="G861" s="120" t="n"/>
      <c r="H861" s="120" t="n"/>
      <c r="I861" s="117" t="n"/>
      <c r="J861" s="123" t="str">
        <f>IF(B861="","",IF(F861&lt;&gt;"",N(F861),ROUND(N(D861)*N(E861),2)))</f>
        <v/>
      </c>
      <c r="K861" s="123" t="str">
        <f>IF(B861="","",IF(H861&lt;&gt;"",N(H861),IF(B861="Dividendo",ROUND(J861*IFERROR(INDEX(Calcoli!$V$7:$V$21,MATCH(C861,Calcoli!$A$7:$A$21,0)),0.26),2),IF(B861="Vendita",ROUND(MAX(0,U861)*IFERROR(INDEX(Calcoli!$V$7:$V$21,MATCH(C861,Calcoli!$A$7:$A$21,0)),0.26),2),0))))</f>
        <v/>
      </c>
      <c r="L861" s="135" t="str">
        <f>IF(B861="","",IF(B861="Acquisto",-(J861+N(G861)),J861-N(G861)-K861))</f>
        <v/>
      </c>
      <c r="M861" s="127" t="str">
        <f>IF(B861="","",IF(ISNA(MATCH(C861,ETF!$A$7:$A$21,0)),"ETF?",IF(NOT(ISNUMBER(A861)),"Data?",IF(AND(B861&lt;&gt;"Dividendo",N(D861)&lt;=0),"Quote?",IF(AND(B861="Vendita",N(D861)&gt;N(Q861)+0.000001),"Quote?",IF(J861&lt;=0,"Importo?","✓"))))))</f>
        <v/>
      </c>
      <c r="N861" t="str">
        <f>IF(OR(B861="Acquisto",B861="Vendita"),COUNTIFS($C$5:C861,C861,$B$5:B861,"Acquisto")+COUNTIFS($C$5:C861,C861,$B$5:B861,"Vendita"),"")</f>
        <v/>
      </c>
      <c r="O861" t="str">
        <f>IF(N861="","",C861&amp;"|"&amp;N861)</f>
        <v/>
      </c>
      <c r="P861" t="str">
        <f>IF(N861="","",IF(N861=1,0,MATCH(C861&amp;"|"&amp;(N861-1),$O$5:$O$1004,0)))</f>
        <v/>
      </c>
      <c r="Q861" t="str">
        <f>IF(N861="","",IF(P861=0,SUMIFS(Calcoli!$C$7:$C$21,Calcoli!$A$7:$A$21,C861),INDEX($S$5:$S$1004,P861)))</f>
        <v/>
      </c>
      <c r="R861" t="str">
        <f>IF(N861="","",IF(P861=0,SUMIFS(Calcoli!$D$7:$D$21,Calcoli!$A$7:$A$21,C861),INDEX($T$5:$T$1004,P861)))</f>
        <v/>
      </c>
      <c r="S861" t="str">
        <f>IF(N861="","",IF(B861="Acquisto",Q861+N(D861),MAX(0,Q861-N(D861))))</f>
        <v/>
      </c>
      <c r="T861" t="str">
        <f>IF(N861="","",IF(B861="Acquisto",R861+J861+N(G861),IF(Q861&lt;=0,0,R861*(1-MIN(1,N(D861)/Q861)))))</f>
        <v/>
      </c>
      <c r="U861" t="str">
        <f>IF(B861&lt;&gt;"Vendita","",J861-N(G861)-IF(Q861&lt;=0,0,R861*MIN(1,N(D861)/Q861)))</f>
        <v/>
      </c>
      <c r="V861" t="str">
        <f>IF(B861&lt;&gt;"Dividendo","",IF(Calcoli!$B$251=1,J861,L861))</f>
        <v/>
      </c>
      <c r="W861" t="str">
        <f>IF(AND(V861&lt;&gt;"",ISNUMBER(A861)),A861,"")</f>
        <v/>
      </c>
    </row>
    <row r="862">
      <c r="A862" s="134" t="n"/>
      <c r="B862" s="116" t="n"/>
      <c r="C862" s="116" t="n"/>
      <c r="D862" s="121" t="n"/>
      <c r="E862" s="120" t="n"/>
      <c r="F862" s="120" t="n"/>
      <c r="G862" s="120" t="n"/>
      <c r="H862" s="120" t="n"/>
      <c r="I862" s="117" t="n"/>
      <c r="J862" s="123" t="str">
        <f>IF(B862="","",IF(F862&lt;&gt;"",N(F862),ROUND(N(D862)*N(E862),2)))</f>
        <v/>
      </c>
      <c r="K862" s="123" t="str">
        <f>IF(B862="","",IF(H862&lt;&gt;"",N(H862),IF(B862="Dividendo",ROUND(J862*IFERROR(INDEX(Calcoli!$V$7:$V$21,MATCH(C862,Calcoli!$A$7:$A$21,0)),0.26),2),IF(B862="Vendita",ROUND(MAX(0,U862)*IFERROR(INDEX(Calcoli!$V$7:$V$21,MATCH(C862,Calcoli!$A$7:$A$21,0)),0.26),2),0))))</f>
        <v/>
      </c>
      <c r="L862" s="135" t="str">
        <f>IF(B862="","",IF(B862="Acquisto",-(J862+N(G862)),J862-N(G862)-K862))</f>
        <v/>
      </c>
      <c r="M862" s="127" t="str">
        <f>IF(B862="","",IF(ISNA(MATCH(C862,ETF!$A$7:$A$21,0)),"ETF?",IF(NOT(ISNUMBER(A862)),"Data?",IF(AND(B862&lt;&gt;"Dividendo",N(D862)&lt;=0),"Quote?",IF(AND(B862="Vendita",N(D862)&gt;N(Q862)+0.000001),"Quote?",IF(J862&lt;=0,"Importo?","✓"))))))</f>
        <v/>
      </c>
      <c r="N862" t="str">
        <f>IF(OR(B862="Acquisto",B862="Vendita"),COUNTIFS($C$5:C862,C862,$B$5:B862,"Acquisto")+COUNTIFS($C$5:C862,C862,$B$5:B862,"Vendita"),"")</f>
        <v/>
      </c>
      <c r="O862" t="str">
        <f>IF(N862="","",C862&amp;"|"&amp;N862)</f>
        <v/>
      </c>
      <c r="P862" t="str">
        <f>IF(N862="","",IF(N862=1,0,MATCH(C862&amp;"|"&amp;(N862-1),$O$5:$O$1004,0)))</f>
        <v/>
      </c>
      <c r="Q862" t="str">
        <f>IF(N862="","",IF(P862=0,SUMIFS(Calcoli!$C$7:$C$21,Calcoli!$A$7:$A$21,C862),INDEX($S$5:$S$1004,P862)))</f>
        <v/>
      </c>
      <c r="R862" t="str">
        <f>IF(N862="","",IF(P862=0,SUMIFS(Calcoli!$D$7:$D$21,Calcoli!$A$7:$A$21,C862),INDEX($T$5:$T$1004,P862)))</f>
        <v/>
      </c>
      <c r="S862" t="str">
        <f>IF(N862="","",IF(B862="Acquisto",Q862+N(D862),MAX(0,Q862-N(D862))))</f>
        <v/>
      </c>
      <c r="T862" t="str">
        <f>IF(N862="","",IF(B862="Acquisto",R862+J862+N(G862),IF(Q862&lt;=0,0,R862*(1-MIN(1,N(D862)/Q862)))))</f>
        <v/>
      </c>
      <c r="U862" t="str">
        <f>IF(B862&lt;&gt;"Vendita","",J862-N(G862)-IF(Q862&lt;=0,0,R862*MIN(1,N(D862)/Q862)))</f>
        <v/>
      </c>
      <c r="V862" t="str">
        <f>IF(B862&lt;&gt;"Dividendo","",IF(Calcoli!$B$251=1,J862,L862))</f>
        <v/>
      </c>
      <c r="W862" t="str">
        <f>IF(AND(V862&lt;&gt;"",ISNUMBER(A862)),A862,"")</f>
        <v/>
      </c>
    </row>
    <row r="863">
      <c r="A863" s="134" t="n"/>
      <c r="B863" s="116" t="n"/>
      <c r="C863" s="116" t="n"/>
      <c r="D863" s="121" t="n"/>
      <c r="E863" s="120" t="n"/>
      <c r="F863" s="120" t="n"/>
      <c r="G863" s="120" t="n"/>
      <c r="H863" s="120" t="n"/>
      <c r="I863" s="117" t="n"/>
      <c r="J863" s="123" t="str">
        <f>IF(B863="","",IF(F863&lt;&gt;"",N(F863),ROUND(N(D863)*N(E863),2)))</f>
        <v/>
      </c>
      <c r="K863" s="123" t="str">
        <f>IF(B863="","",IF(H863&lt;&gt;"",N(H863),IF(B863="Dividendo",ROUND(J863*IFERROR(INDEX(Calcoli!$V$7:$V$21,MATCH(C863,Calcoli!$A$7:$A$21,0)),0.26),2),IF(B863="Vendita",ROUND(MAX(0,U863)*IFERROR(INDEX(Calcoli!$V$7:$V$21,MATCH(C863,Calcoli!$A$7:$A$21,0)),0.26),2),0))))</f>
        <v/>
      </c>
      <c r="L863" s="135" t="str">
        <f>IF(B863="","",IF(B863="Acquisto",-(J863+N(G863)),J863-N(G863)-K863))</f>
        <v/>
      </c>
      <c r="M863" s="127" t="str">
        <f>IF(B863="","",IF(ISNA(MATCH(C863,ETF!$A$7:$A$21,0)),"ETF?",IF(NOT(ISNUMBER(A863)),"Data?",IF(AND(B863&lt;&gt;"Dividendo",N(D863)&lt;=0),"Quote?",IF(AND(B863="Vendita",N(D863)&gt;N(Q863)+0.000001),"Quote?",IF(J863&lt;=0,"Importo?","✓"))))))</f>
        <v/>
      </c>
      <c r="N863" t="str">
        <f>IF(OR(B863="Acquisto",B863="Vendita"),COUNTIFS($C$5:C863,C863,$B$5:B863,"Acquisto")+COUNTIFS($C$5:C863,C863,$B$5:B863,"Vendita"),"")</f>
        <v/>
      </c>
      <c r="O863" t="str">
        <f>IF(N863="","",C863&amp;"|"&amp;N863)</f>
        <v/>
      </c>
      <c r="P863" t="str">
        <f>IF(N863="","",IF(N863=1,0,MATCH(C863&amp;"|"&amp;(N863-1),$O$5:$O$1004,0)))</f>
        <v/>
      </c>
      <c r="Q863" t="str">
        <f>IF(N863="","",IF(P863=0,SUMIFS(Calcoli!$C$7:$C$21,Calcoli!$A$7:$A$21,C863),INDEX($S$5:$S$1004,P863)))</f>
        <v/>
      </c>
      <c r="R863" t="str">
        <f>IF(N863="","",IF(P863=0,SUMIFS(Calcoli!$D$7:$D$21,Calcoli!$A$7:$A$21,C863),INDEX($T$5:$T$1004,P863)))</f>
        <v/>
      </c>
      <c r="S863" t="str">
        <f>IF(N863="","",IF(B863="Acquisto",Q863+N(D863),MAX(0,Q863-N(D863))))</f>
        <v/>
      </c>
      <c r="T863" t="str">
        <f>IF(N863="","",IF(B863="Acquisto",R863+J863+N(G863),IF(Q863&lt;=0,0,R863*(1-MIN(1,N(D863)/Q863)))))</f>
        <v/>
      </c>
      <c r="U863" t="str">
        <f>IF(B863&lt;&gt;"Vendita","",J863-N(G863)-IF(Q863&lt;=0,0,R863*MIN(1,N(D863)/Q863)))</f>
        <v/>
      </c>
      <c r="V863" t="str">
        <f>IF(B863&lt;&gt;"Dividendo","",IF(Calcoli!$B$251=1,J863,L863))</f>
        <v/>
      </c>
      <c r="W863" t="str">
        <f>IF(AND(V863&lt;&gt;"",ISNUMBER(A863)),A863,"")</f>
        <v/>
      </c>
    </row>
    <row r="864">
      <c r="A864" s="134" t="n"/>
      <c r="B864" s="116" t="n"/>
      <c r="C864" s="116" t="n"/>
      <c r="D864" s="121" t="n"/>
      <c r="E864" s="120" t="n"/>
      <c r="F864" s="120" t="n"/>
      <c r="G864" s="120" t="n"/>
      <c r="H864" s="120" t="n"/>
      <c r="I864" s="117" t="n"/>
      <c r="J864" s="123" t="str">
        <f>IF(B864="","",IF(F864&lt;&gt;"",N(F864),ROUND(N(D864)*N(E864),2)))</f>
        <v/>
      </c>
      <c r="K864" s="123" t="str">
        <f>IF(B864="","",IF(H864&lt;&gt;"",N(H864),IF(B864="Dividendo",ROUND(J864*IFERROR(INDEX(Calcoli!$V$7:$V$21,MATCH(C864,Calcoli!$A$7:$A$21,0)),0.26),2),IF(B864="Vendita",ROUND(MAX(0,U864)*IFERROR(INDEX(Calcoli!$V$7:$V$21,MATCH(C864,Calcoli!$A$7:$A$21,0)),0.26),2),0))))</f>
        <v/>
      </c>
      <c r="L864" s="135" t="str">
        <f>IF(B864="","",IF(B864="Acquisto",-(J864+N(G864)),J864-N(G864)-K864))</f>
        <v/>
      </c>
      <c r="M864" s="127" t="str">
        <f>IF(B864="","",IF(ISNA(MATCH(C864,ETF!$A$7:$A$21,0)),"ETF?",IF(NOT(ISNUMBER(A864)),"Data?",IF(AND(B864&lt;&gt;"Dividendo",N(D864)&lt;=0),"Quote?",IF(AND(B864="Vendita",N(D864)&gt;N(Q864)+0.000001),"Quote?",IF(J864&lt;=0,"Importo?","✓"))))))</f>
        <v/>
      </c>
      <c r="N864" t="str">
        <f>IF(OR(B864="Acquisto",B864="Vendita"),COUNTIFS($C$5:C864,C864,$B$5:B864,"Acquisto")+COUNTIFS($C$5:C864,C864,$B$5:B864,"Vendita"),"")</f>
        <v/>
      </c>
      <c r="O864" t="str">
        <f>IF(N864="","",C864&amp;"|"&amp;N864)</f>
        <v/>
      </c>
      <c r="P864" t="str">
        <f>IF(N864="","",IF(N864=1,0,MATCH(C864&amp;"|"&amp;(N864-1),$O$5:$O$1004,0)))</f>
        <v/>
      </c>
      <c r="Q864" t="str">
        <f>IF(N864="","",IF(P864=0,SUMIFS(Calcoli!$C$7:$C$21,Calcoli!$A$7:$A$21,C864),INDEX($S$5:$S$1004,P864)))</f>
        <v/>
      </c>
      <c r="R864" t="str">
        <f>IF(N864="","",IF(P864=0,SUMIFS(Calcoli!$D$7:$D$21,Calcoli!$A$7:$A$21,C864),INDEX($T$5:$T$1004,P864)))</f>
        <v/>
      </c>
      <c r="S864" t="str">
        <f>IF(N864="","",IF(B864="Acquisto",Q864+N(D864),MAX(0,Q864-N(D864))))</f>
        <v/>
      </c>
      <c r="T864" t="str">
        <f>IF(N864="","",IF(B864="Acquisto",R864+J864+N(G864),IF(Q864&lt;=0,0,R864*(1-MIN(1,N(D864)/Q864)))))</f>
        <v/>
      </c>
      <c r="U864" t="str">
        <f>IF(B864&lt;&gt;"Vendita","",J864-N(G864)-IF(Q864&lt;=0,0,R864*MIN(1,N(D864)/Q864)))</f>
        <v/>
      </c>
      <c r="V864" t="str">
        <f>IF(B864&lt;&gt;"Dividendo","",IF(Calcoli!$B$251=1,J864,L864))</f>
        <v/>
      </c>
      <c r="W864" t="str">
        <f>IF(AND(V864&lt;&gt;"",ISNUMBER(A864)),A864,"")</f>
        <v/>
      </c>
    </row>
    <row r="865">
      <c r="A865" s="134" t="n"/>
      <c r="B865" s="116" t="n"/>
      <c r="C865" s="116" t="n"/>
      <c r="D865" s="121" t="n"/>
      <c r="E865" s="120" t="n"/>
      <c r="F865" s="120" t="n"/>
      <c r="G865" s="120" t="n"/>
      <c r="H865" s="120" t="n"/>
      <c r="I865" s="117" t="n"/>
      <c r="J865" s="123" t="str">
        <f>IF(B865="","",IF(F865&lt;&gt;"",N(F865),ROUND(N(D865)*N(E865),2)))</f>
        <v/>
      </c>
      <c r="K865" s="123" t="str">
        <f>IF(B865="","",IF(H865&lt;&gt;"",N(H865),IF(B865="Dividendo",ROUND(J865*IFERROR(INDEX(Calcoli!$V$7:$V$21,MATCH(C865,Calcoli!$A$7:$A$21,0)),0.26),2),IF(B865="Vendita",ROUND(MAX(0,U865)*IFERROR(INDEX(Calcoli!$V$7:$V$21,MATCH(C865,Calcoli!$A$7:$A$21,0)),0.26),2),0))))</f>
        <v/>
      </c>
      <c r="L865" s="135" t="str">
        <f>IF(B865="","",IF(B865="Acquisto",-(J865+N(G865)),J865-N(G865)-K865))</f>
        <v/>
      </c>
      <c r="M865" s="127" t="str">
        <f>IF(B865="","",IF(ISNA(MATCH(C865,ETF!$A$7:$A$21,0)),"ETF?",IF(NOT(ISNUMBER(A865)),"Data?",IF(AND(B865&lt;&gt;"Dividendo",N(D865)&lt;=0),"Quote?",IF(AND(B865="Vendita",N(D865)&gt;N(Q865)+0.000001),"Quote?",IF(J865&lt;=0,"Importo?","✓"))))))</f>
        <v/>
      </c>
      <c r="N865" t="str">
        <f>IF(OR(B865="Acquisto",B865="Vendita"),COUNTIFS($C$5:C865,C865,$B$5:B865,"Acquisto")+COUNTIFS($C$5:C865,C865,$B$5:B865,"Vendita"),"")</f>
        <v/>
      </c>
      <c r="O865" t="str">
        <f>IF(N865="","",C865&amp;"|"&amp;N865)</f>
        <v/>
      </c>
      <c r="P865" t="str">
        <f>IF(N865="","",IF(N865=1,0,MATCH(C865&amp;"|"&amp;(N865-1),$O$5:$O$1004,0)))</f>
        <v/>
      </c>
      <c r="Q865" t="str">
        <f>IF(N865="","",IF(P865=0,SUMIFS(Calcoli!$C$7:$C$21,Calcoli!$A$7:$A$21,C865),INDEX($S$5:$S$1004,P865)))</f>
        <v/>
      </c>
      <c r="R865" t="str">
        <f>IF(N865="","",IF(P865=0,SUMIFS(Calcoli!$D$7:$D$21,Calcoli!$A$7:$A$21,C865),INDEX($T$5:$T$1004,P865)))</f>
        <v/>
      </c>
      <c r="S865" t="str">
        <f>IF(N865="","",IF(B865="Acquisto",Q865+N(D865),MAX(0,Q865-N(D865))))</f>
        <v/>
      </c>
      <c r="T865" t="str">
        <f>IF(N865="","",IF(B865="Acquisto",R865+J865+N(G865),IF(Q865&lt;=0,0,R865*(1-MIN(1,N(D865)/Q865)))))</f>
        <v/>
      </c>
      <c r="U865" t="str">
        <f>IF(B865&lt;&gt;"Vendita","",J865-N(G865)-IF(Q865&lt;=0,0,R865*MIN(1,N(D865)/Q865)))</f>
        <v/>
      </c>
      <c r="V865" t="str">
        <f>IF(B865&lt;&gt;"Dividendo","",IF(Calcoli!$B$251=1,J865,L865))</f>
        <v/>
      </c>
      <c r="W865" t="str">
        <f>IF(AND(V865&lt;&gt;"",ISNUMBER(A865)),A865,"")</f>
        <v/>
      </c>
    </row>
    <row r="866">
      <c r="A866" s="134" t="n"/>
      <c r="B866" s="116" t="n"/>
      <c r="C866" s="116" t="n"/>
      <c r="D866" s="121" t="n"/>
      <c r="E866" s="120" t="n"/>
      <c r="F866" s="120" t="n"/>
      <c r="G866" s="120" t="n"/>
      <c r="H866" s="120" t="n"/>
      <c r="I866" s="117" t="n"/>
      <c r="J866" s="123" t="str">
        <f>IF(B866="","",IF(F866&lt;&gt;"",N(F866),ROUND(N(D866)*N(E866),2)))</f>
        <v/>
      </c>
      <c r="K866" s="123" t="str">
        <f>IF(B866="","",IF(H866&lt;&gt;"",N(H866),IF(B866="Dividendo",ROUND(J866*IFERROR(INDEX(Calcoli!$V$7:$V$21,MATCH(C866,Calcoli!$A$7:$A$21,0)),0.26),2),IF(B866="Vendita",ROUND(MAX(0,U866)*IFERROR(INDEX(Calcoli!$V$7:$V$21,MATCH(C866,Calcoli!$A$7:$A$21,0)),0.26),2),0))))</f>
        <v/>
      </c>
      <c r="L866" s="135" t="str">
        <f>IF(B866="","",IF(B866="Acquisto",-(J866+N(G866)),J866-N(G866)-K866))</f>
        <v/>
      </c>
      <c r="M866" s="127" t="str">
        <f>IF(B866="","",IF(ISNA(MATCH(C866,ETF!$A$7:$A$21,0)),"ETF?",IF(NOT(ISNUMBER(A866)),"Data?",IF(AND(B866&lt;&gt;"Dividendo",N(D866)&lt;=0),"Quote?",IF(AND(B866="Vendita",N(D866)&gt;N(Q866)+0.000001),"Quote?",IF(J866&lt;=0,"Importo?","✓"))))))</f>
        <v/>
      </c>
      <c r="N866" t="str">
        <f>IF(OR(B866="Acquisto",B866="Vendita"),COUNTIFS($C$5:C866,C866,$B$5:B866,"Acquisto")+COUNTIFS($C$5:C866,C866,$B$5:B866,"Vendita"),"")</f>
        <v/>
      </c>
      <c r="O866" t="str">
        <f>IF(N866="","",C866&amp;"|"&amp;N866)</f>
        <v/>
      </c>
      <c r="P866" t="str">
        <f>IF(N866="","",IF(N866=1,0,MATCH(C866&amp;"|"&amp;(N866-1),$O$5:$O$1004,0)))</f>
        <v/>
      </c>
      <c r="Q866" t="str">
        <f>IF(N866="","",IF(P866=0,SUMIFS(Calcoli!$C$7:$C$21,Calcoli!$A$7:$A$21,C866),INDEX($S$5:$S$1004,P866)))</f>
        <v/>
      </c>
      <c r="R866" t="str">
        <f>IF(N866="","",IF(P866=0,SUMIFS(Calcoli!$D$7:$D$21,Calcoli!$A$7:$A$21,C866),INDEX($T$5:$T$1004,P866)))</f>
        <v/>
      </c>
      <c r="S866" t="str">
        <f>IF(N866="","",IF(B866="Acquisto",Q866+N(D866),MAX(0,Q866-N(D866))))</f>
        <v/>
      </c>
      <c r="T866" t="str">
        <f>IF(N866="","",IF(B866="Acquisto",R866+J866+N(G866),IF(Q866&lt;=0,0,R866*(1-MIN(1,N(D866)/Q866)))))</f>
        <v/>
      </c>
      <c r="U866" t="str">
        <f>IF(B866&lt;&gt;"Vendita","",J866-N(G866)-IF(Q866&lt;=0,0,R866*MIN(1,N(D866)/Q866)))</f>
        <v/>
      </c>
      <c r="V866" t="str">
        <f>IF(B866&lt;&gt;"Dividendo","",IF(Calcoli!$B$251=1,J866,L866))</f>
        <v/>
      </c>
      <c r="W866" t="str">
        <f>IF(AND(V866&lt;&gt;"",ISNUMBER(A866)),A866,"")</f>
        <v/>
      </c>
    </row>
    <row r="867">
      <c r="A867" s="134" t="n"/>
      <c r="B867" s="116" t="n"/>
      <c r="C867" s="116" t="n"/>
      <c r="D867" s="121" t="n"/>
      <c r="E867" s="120" t="n"/>
      <c r="F867" s="120" t="n"/>
      <c r="G867" s="120" t="n"/>
      <c r="H867" s="120" t="n"/>
      <c r="I867" s="117" t="n"/>
      <c r="J867" s="123" t="str">
        <f>IF(B867="","",IF(F867&lt;&gt;"",N(F867),ROUND(N(D867)*N(E867),2)))</f>
        <v/>
      </c>
      <c r="K867" s="123" t="str">
        <f>IF(B867="","",IF(H867&lt;&gt;"",N(H867),IF(B867="Dividendo",ROUND(J867*IFERROR(INDEX(Calcoli!$V$7:$V$21,MATCH(C867,Calcoli!$A$7:$A$21,0)),0.26),2),IF(B867="Vendita",ROUND(MAX(0,U867)*IFERROR(INDEX(Calcoli!$V$7:$V$21,MATCH(C867,Calcoli!$A$7:$A$21,0)),0.26),2),0))))</f>
        <v/>
      </c>
      <c r="L867" s="135" t="str">
        <f>IF(B867="","",IF(B867="Acquisto",-(J867+N(G867)),J867-N(G867)-K867))</f>
        <v/>
      </c>
      <c r="M867" s="127" t="str">
        <f>IF(B867="","",IF(ISNA(MATCH(C867,ETF!$A$7:$A$21,0)),"ETF?",IF(NOT(ISNUMBER(A867)),"Data?",IF(AND(B867&lt;&gt;"Dividendo",N(D867)&lt;=0),"Quote?",IF(AND(B867="Vendita",N(D867)&gt;N(Q867)+0.000001),"Quote?",IF(J867&lt;=0,"Importo?","✓"))))))</f>
        <v/>
      </c>
      <c r="N867" t="str">
        <f>IF(OR(B867="Acquisto",B867="Vendita"),COUNTIFS($C$5:C867,C867,$B$5:B867,"Acquisto")+COUNTIFS($C$5:C867,C867,$B$5:B867,"Vendita"),"")</f>
        <v/>
      </c>
      <c r="O867" t="str">
        <f>IF(N867="","",C867&amp;"|"&amp;N867)</f>
        <v/>
      </c>
      <c r="P867" t="str">
        <f>IF(N867="","",IF(N867=1,0,MATCH(C867&amp;"|"&amp;(N867-1),$O$5:$O$1004,0)))</f>
        <v/>
      </c>
      <c r="Q867" t="str">
        <f>IF(N867="","",IF(P867=0,SUMIFS(Calcoli!$C$7:$C$21,Calcoli!$A$7:$A$21,C867),INDEX($S$5:$S$1004,P867)))</f>
        <v/>
      </c>
      <c r="R867" t="str">
        <f>IF(N867="","",IF(P867=0,SUMIFS(Calcoli!$D$7:$D$21,Calcoli!$A$7:$A$21,C867),INDEX($T$5:$T$1004,P867)))</f>
        <v/>
      </c>
      <c r="S867" t="str">
        <f>IF(N867="","",IF(B867="Acquisto",Q867+N(D867),MAX(0,Q867-N(D867))))</f>
        <v/>
      </c>
      <c r="T867" t="str">
        <f>IF(N867="","",IF(B867="Acquisto",R867+J867+N(G867),IF(Q867&lt;=0,0,R867*(1-MIN(1,N(D867)/Q867)))))</f>
        <v/>
      </c>
      <c r="U867" t="str">
        <f>IF(B867&lt;&gt;"Vendita","",J867-N(G867)-IF(Q867&lt;=0,0,R867*MIN(1,N(D867)/Q867)))</f>
        <v/>
      </c>
      <c r="V867" t="str">
        <f>IF(B867&lt;&gt;"Dividendo","",IF(Calcoli!$B$251=1,J867,L867))</f>
        <v/>
      </c>
      <c r="W867" t="str">
        <f>IF(AND(V867&lt;&gt;"",ISNUMBER(A867)),A867,"")</f>
        <v/>
      </c>
    </row>
    <row r="868">
      <c r="A868" s="134" t="n"/>
      <c r="B868" s="116" t="n"/>
      <c r="C868" s="116" t="n"/>
      <c r="D868" s="121" t="n"/>
      <c r="E868" s="120" t="n"/>
      <c r="F868" s="120" t="n"/>
      <c r="G868" s="120" t="n"/>
      <c r="H868" s="120" t="n"/>
      <c r="I868" s="117" t="n"/>
      <c r="J868" s="123" t="str">
        <f>IF(B868="","",IF(F868&lt;&gt;"",N(F868),ROUND(N(D868)*N(E868),2)))</f>
        <v/>
      </c>
      <c r="K868" s="123" t="str">
        <f>IF(B868="","",IF(H868&lt;&gt;"",N(H868),IF(B868="Dividendo",ROUND(J868*IFERROR(INDEX(Calcoli!$V$7:$V$21,MATCH(C868,Calcoli!$A$7:$A$21,0)),0.26),2),IF(B868="Vendita",ROUND(MAX(0,U868)*IFERROR(INDEX(Calcoli!$V$7:$V$21,MATCH(C868,Calcoli!$A$7:$A$21,0)),0.26),2),0))))</f>
        <v/>
      </c>
      <c r="L868" s="135" t="str">
        <f>IF(B868="","",IF(B868="Acquisto",-(J868+N(G868)),J868-N(G868)-K868))</f>
        <v/>
      </c>
      <c r="M868" s="127" t="str">
        <f>IF(B868="","",IF(ISNA(MATCH(C868,ETF!$A$7:$A$21,0)),"ETF?",IF(NOT(ISNUMBER(A868)),"Data?",IF(AND(B868&lt;&gt;"Dividendo",N(D868)&lt;=0),"Quote?",IF(AND(B868="Vendita",N(D868)&gt;N(Q868)+0.000001),"Quote?",IF(J868&lt;=0,"Importo?","✓"))))))</f>
        <v/>
      </c>
      <c r="N868" t="str">
        <f>IF(OR(B868="Acquisto",B868="Vendita"),COUNTIFS($C$5:C868,C868,$B$5:B868,"Acquisto")+COUNTIFS($C$5:C868,C868,$B$5:B868,"Vendita"),"")</f>
        <v/>
      </c>
      <c r="O868" t="str">
        <f>IF(N868="","",C868&amp;"|"&amp;N868)</f>
        <v/>
      </c>
      <c r="P868" t="str">
        <f>IF(N868="","",IF(N868=1,0,MATCH(C868&amp;"|"&amp;(N868-1),$O$5:$O$1004,0)))</f>
        <v/>
      </c>
      <c r="Q868" t="str">
        <f>IF(N868="","",IF(P868=0,SUMIFS(Calcoli!$C$7:$C$21,Calcoli!$A$7:$A$21,C868),INDEX($S$5:$S$1004,P868)))</f>
        <v/>
      </c>
      <c r="R868" t="str">
        <f>IF(N868="","",IF(P868=0,SUMIFS(Calcoli!$D$7:$D$21,Calcoli!$A$7:$A$21,C868),INDEX($T$5:$T$1004,P868)))</f>
        <v/>
      </c>
      <c r="S868" t="str">
        <f>IF(N868="","",IF(B868="Acquisto",Q868+N(D868),MAX(0,Q868-N(D868))))</f>
        <v/>
      </c>
      <c r="T868" t="str">
        <f>IF(N868="","",IF(B868="Acquisto",R868+J868+N(G868),IF(Q868&lt;=0,0,R868*(1-MIN(1,N(D868)/Q868)))))</f>
        <v/>
      </c>
      <c r="U868" t="str">
        <f>IF(B868&lt;&gt;"Vendita","",J868-N(G868)-IF(Q868&lt;=0,0,R868*MIN(1,N(D868)/Q868)))</f>
        <v/>
      </c>
      <c r="V868" t="str">
        <f>IF(B868&lt;&gt;"Dividendo","",IF(Calcoli!$B$251=1,J868,L868))</f>
        <v/>
      </c>
      <c r="W868" t="str">
        <f>IF(AND(V868&lt;&gt;"",ISNUMBER(A868)),A868,"")</f>
        <v/>
      </c>
    </row>
    <row r="869">
      <c r="A869" s="134" t="n"/>
      <c r="B869" s="116" t="n"/>
      <c r="C869" s="116" t="n"/>
      <c r="D869" s="121" t="n"/>
      <c r="E869" s="120" t="n"/>
      <c r="F869" s="120" t="n"/>
      <c r="G869" s="120" t="n"/>
      <c r="H869" s="120" t="n"/>
      <c r="I869" s="117" t="n"/>
      <c r="J869" s="123" t="str">
        <f>IF(B869="","",IF(F869&lt;&gt;"",N(F869),ROUND(N(D869)*N(E869),2)))</f>
        <v/>
      </c>
      <c r="K869" s="123" t="str">
        <f>IF(B869="","",IF(H869&lt;&gt;"",N(H869),IF(B869="Dividendo",ROUND(J869*IFERROR(INDEX(Calcoli!$V$7:$V$21,MATCH(C869,Calcoli!$A$7:$A$21,0)),0.26),2),IF(B869="Vendita",ROUND(MAX(0,U869)*IFERROR(INDEX(Calcoli!$V$7:$V$21,MATCH(C869,Calcoli!$A$7:$A$21,0)),0.26),2),0))))</f>
        <v/>
      </c>
      <c r="L869" s="135" t="str">
        <f>IF(B869="","",IF(B869="Acquisto",-(J869+N(G869)),J869-N(G869)-K869))</f>
        <v/>
      </c>
      <c r="M869" s="127" t="str">
        <f>IF(B869="","",IF(ISNA(MATCH(C869,ETF!$A$7:$A$21,0)),"ETF?",IF(NOT(ISNUMBER(A869)),"Data?",IF(AND(B869&lt;&gt;"Dividendo",N(D869)&lt;=0),"Quote?",IF(AND(B869="Vendita",N(D869)&gt;N(Q869)+0.000001),"Quote?",IF(J869&lt;=0,"Importo?","✓"))))))</f>
        <v/>
      </c>
      <c r="N869" t="str">
        <f>IF(OR(B869="Acquisto",B869="Vendita"),COUNTIFS($C$5:C869,C869,$B$5:B869,"Acquisto")+COUNTIFS($C$5:C869,C869,$B$5:B869,"Vendita"),"")</f>
        <v/>
      </c>
      <c r="O869" t="str">
        <f>IF(N869="","",C869&amp;"|"&amp;N869)</f>
        <v/>
      </c>
      <c r="P869" t="str">
        <f>IF(N869="","",IF(N869=1,0,MATCH(C869&amp;"|"&amp;(N869-1),$O$5:$O$1004,0)))</f>
        <v/>
      </c>
      <c r="Q869" t="str">
        <f>IF(N869="","",IF(P869=0,SUMIFS(Calcoli!$C$7:$C$21,Calcoli!$A$7:$A$21,C869),INDEX($S$5:$S$1004,P869)))</f>
        <v/>
      </c>
      <c r="R869" t="str">
        <f>IF(N869="","",IF(P869=0,SUMIFS(Calcoli!$D$7:$D$21,Calcoli!$A$7:$A$21,C869),INDEX($T$5:$T$1004,P869)))</f>
        <v/>
      </c>
      <c r="S869" t="str">
        <f>IF(N869="","",IF(B869="Acquisto",Q869+N(D869),MAX(0,Q869-N(D869))))</f>
        <v/>
      </c>
      <c r="T869" t="str">
        <f>IF(N869="","",IF(B869="Acquisto",R869+J869+N(G869),IF(Q869&lt;=0,0,R869*(1-MIN(1,N(D869)/Q869)))))</f>
        <v/>
      </c>
      <c r="U869" t="str">
        <f>IF(B869&lt;&gt;"Vendita","",J869-N(G869)-IF(Q869&lt;=0,0,R869*MIN(1,N(D869)/Q869)))</f>
        <v/>
      </c>
      <c r="V869" t="str">
        <f>IF(B869&lt;&gt;"Dividendo","",IF(Calcoli!$B$251=1,J869,L869))</f>
        <v/>
      </c>
      <c r="W869" t="str">
        <f>IF(AND(V869&lt;&gt;"",ISNUMBER(A869)),A869,"")</f>
        <v/>
      </c>
    </row>
    <row r="870">
      <c r="A870" s="134" t="n"/>
      <c r="B870" s="116" t="n"/>
      <c r="C870" s="116" t="n"/>
      <c r="D870" s="121" t="n"/>
      <c r="E870" s="120" t="n"/>
      <c r="F870" s="120" t="n"/>
      <c r="G870" s="120" t="n"/>
      <c r="H870" s="120" t="n"/>
      <c r="I870" s="117" t="n"/>
      <c r="J870" s="123" t="str">
        <f>IF(B870="","",IF(F870&lt;&gt;"",N(F870),ROUND(N(D870)*N(E870),2)))</f>
        <v/>
      </c>
      <c r="K870" s="123" t="str">
        <f>IF(B870="","",IF(H870&lt;&gt;"",N(H870),IF(B870="Dividendo",ROUND(J870*IFERROR(INDEX(Calcoli!$V$7:$V$21,MATCH(C870,Calcoli!$A$7:$A$21,0)),0.26),2),IF(B870="Vendita",ROUND(MAX(0,U870)*IFERROR(INDEX(Calcoli!$V$7:$V$21,MATCH(C870,Calcoli!$A$7:$A$21,0)),0.26),2),0))))</f>
        <v/>
      </c>
      <c r="L870" s="135" t="str">
        <f>IF(B870="","",IF(B870="Acquisto",-(J870+N(G870)),J870-N(G870)-K870))</f>
        <v/>
      </c>
      <c r="M870" s="127" t="str">
        <f>IF(B870="","",IF(ISNA(MATCH(C870,ETF!$A$7:$A$21,0)),"ETF?",IF(NOT(ISNUMBER(A870)),"Data?",IF(AND(B870&lt;&gt;"Dividendo",N(D870)&lt;=0),"Quote?",IF(AND(B870="Vendita",N(D870)&gt;N(Q870)+0.000001),"Quote?",IF(J870&lt;=0,"Importo?","✓"))))))</f>
        <v/>
      </c>
      <c r="N870" t="str">
        <f>IF(OR(B870="Acquisto",B870="Vendita"),COUNTIFS($C$5:C870,C870,$B$5:B870,"Acquisto")+COUNTIFS($C$5:C870,C870,$B$5:B870,"Vendita"),"")</f>
        <v/>
      </c>
      <c r="O870" t="str">
        <f>IF(N870="","",C870&amp;"|"&amp;N870)</f>
        <v/>
      </c>
      <c r="P870" t="str">
        <f>IF(N870="","",IF(N870=1,0,MATCH(C870&amp;"|"&amp;(N870-1),$O$5:$O$1004,0)))</f>
        <v/>
      </c>
      <c r="Q870" t="str">
        <f>IF(N870="","",IF(P870=0,SUMIFS(Calcoli!$C$7:$C$21,Calcoli!$A$7:$A$21,C870),INDEX($S$5:$S$1004,P870)))</f>
        <v/>
      </c>
      <c r="R870" t="str">
        <f>IF(N870="","",IF(P870=0,SUMIFS(Calcoli!$D$7:$D$21,Calcoli!$A$7:$A$21,C870),INDEX($T$5:$T$1004,P870)))</f>
        <v/>
      </c>
      <c r="S870" t="str">
        <f>IF(N870="","",IF(B870="Acquisto",Q870+N(D870),MAX(0,Q870-N(D870))))</f>
        <v/>
      </c>
      <c r="T870" t="str">
        <f>IF(N870="","",IF(B870="Acquisto",R870+J870+N(G870),IF(Q870&lt;=0,0,R870*(1-MIN(1,N(D870)/Q870)))))</f>
        <v/>
      </c>
      <c r="U870" t="str">
        <f>IF(B870&lt;&gt;"Vendita","",J870-N(G870)-IF(Q870&lt;=0,0,R870*MIN(1,N(D870)/Q870)))</f>
        <v/>
      </c>
      <c r="V870" t="str">
        <f>IF(B870&lt;&gt;"Dividendo","",IF(Calcoli!$B$251=1,J870,L870))</f>
        <v/>
      </c>
      <c r="W870" t="str">
        <f>IF(AND(V870&lt;&gt;"",ISNUMBER(A870)),A870,"")</f>
        <v/>
      </c>
    </row>
    <row r="871">
      <c r="A871" s="134" t="n"/>
      <c r="B871" s="116" t="n"/>
      <c r="C871" s="116" t="n"/>
      <c r="D871" s="121" t="n"/>
      <c r="E871" s="120" t="n"/>
      <c r="F871" s="120" t="n"/>
      <c r="G871" s="120" t="n"/>
      <c r="H871" s="120" t="n"/>
      <c r="I871" s="117" t="n"/>
      <c r="J871" s="123" t="str">
        <f>IF(B871="","",IF(F871&lt;&gt;"",N(F871),ROUND(N(D871)*N(E871),2)))</f>
        <v/>
      </c>
      <c r="K871" s="123" t="str">
        <f>IF(B871="","",IF(H871&lt;&gt;"",N(H871),IF(B871="Dividendo",ROUND(J871*IFERROR(INDEX(Calcoli!$V$7:$V$21,MATCH(C871,Calcoli!$A$7:$A$21,0)),0.26),2),IF(B871="Vendita",ROUND(MAX(0,U871)*IFERROR(INDEX(Calcoli!$V$7:$V$21,MATCH(C871,Calcoli!$A$7:$A$21,0)),0.26),2),0))))</f>
        <v/>
      </c>
      <c r="L871" s="135" t="str">
        <f>IF(B871="","",IF(B871="Acquisto",-(J871+N(G871)),J871-N(G871)-K871))</f>
        <v/>
      </c>
      <c r="M871" s="127" t="str">
        <f>IF(B871="","",IF(ISNA(MATCH(C871,ETF!$A$7:$A$21,0)),"ETF?",IF(NOT(ISNUMBER(A871)),"Data?",IF(AND(B871&lt;&gt;"Dividendo",N(D871)&lt;=0),"Quote?",IF(AND(B871="Vendita",N(D871)&gt;N(Q871)+0.000001),"Quote?",IF(J871&lt;=0,"Importo?","✓"))))))</f>
        <v/>
      </c>
      <c r="N871" t="str">
        <f>IF(OR(B871="Acquisto",B871="Vendita"),COUNTIFS($C$5:C871,C871,$B$5:B871,"Acquisto")+COUNTIFS($C$5:C871,C871,$B$5:B871,"Vendita"),"")</f>
        <v/>
      </c>
      <c r="O871" t="str">
        <f>IF(N871="","",C871&amp;"|"&amp;N871)</f>
        <v/>
      </c>
      <c r="P871" t="str">
        <f>IF(N871="","",IF(N871=1,0,MATCH(C871&amp;"|"&amp;(N871-1),$O$5:$O$1004,0)))</f>
        <v/>
      </c>
      <c r="Q871" t="str">
        <f>IF(N871="","",IF(P871=0,SUMIFS(Calcoli!$C$7:$C$21,Calcoli!$A$7:$A$21,C871),INDEX($S$5:$S$1004,P871)))</f>
        <v/>
      </c>
      <c r="R871" t="str">
        <f>IF(N871="","",IF(P871=0,SUMIFS(Calcoli!$D$7:$D$21,Calcoli!$A$7:$A$21,C871),INDEX($T$5:$T$1004,P871)))</f>
        <v/>
      </c>
      <c r="S871" t="str">
        <f>IF(N871="","",IF(B871="Acquisto",Q871+N(D871),MAX(0,Q871-N(D871))))</f>
        <v/>
      </c>
      <c r="T871" t="str">
        <f>IF(N871="","",IF(B871="Acquisto",R871+J871+N(G871),IF(Q871&lt;=0,0,R871*(1-MIN(1,N(D871)/Q871)))))</f>
        <v/>
      </c>
      <c r="U871" t="str">
        <f>IF(B871&lt;&gt;"Vendita","",J871-N(G871)-IF(Q871&lt;=0,0,R871*MIN(1,N(D871)/Q871)))</f>
        <v/>
      </c>
      <c r="V871" t="str">
        <f>IF(B871&lt;&gt;"Dividendo","",IF(Calcoli!$B$251=1,J871,L871))</f>
        <v/>
      </c>
      <c r="W871" t="str">
        <f>IF(AND(V871&lt;&gt;"",ISNUMBER(A871)),A871,"")</f>
        <v/>
      </c>
    </row>
    <row r="872">
      <c r="A872" s="134" t="n"/>
      <c r="B872" s="116" t="n"/>
      <c r="C872" s="116" t="n"/>
      <c r="D872" s="121" t="n"/>
      <c r="E872" s="120" t="n"/>
      <c r="F872" s="120" t="n"/>
      <c r="G872" s="120" t="n"/>
      <c r="H872" s="120" t="n"/>
      <c r="I872" s="117" t="n"/>
      <c r="J872" s="123" t="str">
        <f>IF(B872="","",IF(F872&lt;&gt;"",N(F872),ROUND(N(D872)*N(E872),2)))</f>
        <v/>
      </c>
      <c r="K872" s="123" t="str">
        <f>IF(B872="","",IF(H872&lt;&gt;"",N(H872),IF(B872="Dividendo",ROUND(J872*IFERROR(INDEX(Calcoli!$V$7:$V$21,MATCH(C872,Calcoli!$A$7:$A$21,0)),0.26),2),IF(B872="Vendita",ROUND(MAX(0,U872)*IFERROR(INDEX(Calcoli!$V$7:$V$21,MATCH(C872,Calcoli!$A$7:$A$21,0)),0.26),2),0))))</f>
        <v/>
      </c>
      <c r="L872" s="135" t="str">
        <f>IF(B872="","",IF(B872="Acquisto",-(J872+N(G872)),J872-N(G872)-K872))</f>
        <v/>
      </c>
      <c r="M872" s="127" t="str">
        <f>IF(B872="","",IF(ISNA(MATCH(C872,ETF!$A$7:$A$21,0)),"ETF?",IF(NOT(ISNUMBER(A872)),"Data?",IF(AND(B872&lt;&gt;"Dividendo",N(D872)&lt;=0),"Quote?",IF(AND(B872="Vendita",N(D872)&gt;N(Q872)+0.000001),"Quote?",IF(J872&lt;=0,"Importo?","✓"))))))</f>
        <v/>
      </c>
      <c r="N872" t="str">
        <f>IF(OR(B872="Acquisto",B872="Vendita"),COUNTIFS($C$5:C872,C872,$B$5:B872,"Acquisto")+COUNTIFS($C$5:C872,C872,$B$5:B872,"Vendita"),"")</f>
        <v/>
      </c>
      <c r="O872" t="str">
        <f>IF(N872="","",C872&amp;"|"&amp;N872)</f>
        <v/>
      </c>
      <c r="P872" t="str">
        <f>IF(N872="","",IF(N872=1,0,MATCH(C872&amp;"|"&amp;(N872-1),$O$5:$O$1004,0)))</f>
        <v/>
      </c>
      <c r="Q872" t="str">
        <f>IF(N872="","",IF(P872=0,SUMIFS(Calcoli!$C$7:$C$21,Calcoli!$A$7:$A$21,C872),INDEX($S$5:$S$1004,P872)))</f>
        <v/>
      </c>
      <c r="R872" t="str">
        <f>IF(N872="","",IF(P872=0,SUMIFS(Calcoli!$D$7:$D$21,Calcoli!$A$7:$A$21,C872),INDEX($T$5:$T$1004,P872)))</f>
        <v/>
      </c>
      <c r="S872" t="str">
        <f>IF(N872="","",IF(B872="Acquisto",Q872+N(D872),MAX(0,Q872-N(D872))))</f>
        <v/>
      </c>
      <c r="T872" t="str">
        <f>IF(N872="","",IF(B872="Acquisto",R872+J872+N(G872),IF(Q872&lt;=0,0,R872*(1-MIN(1,N(D872)/Q872)))))</f>
        <v/>
      </c>
      <c r="U872" t="str">
        <f>IF(B872&lt;&gt;"Vendita","",J872-N(G872)-IF(Q872&lt;=0,0,R872*MIN(1,N(D872)/Q872)))</f>
        <v/>
      </c>
      <c r="V872" t="str">
        <f>IF(B872&lt;&gt;"Dividendo","",IF(Calcoli!$B$251=1,J872,L872))</f>
        <v/>
      </c>
      <c r="W872" t="str">
        <f>IF(AND(V872&lt;&gt;"",ISNUMBER(A872)),A872,"")</f>
        <v/>
      </c>
    </row>
    <row r="873">
      <c r="A873" s="134" t="n"/>
      <c r="B873" s="116" t="n"/>
      <c r="C873" s="116" t="n"/>
      <c r="D873" s="121" t="n"/>
      <c r="E873" s="120" t="n"/>
      <c r="F873" s="120" t="n"/>
      <c r="G873" s="120" t="n"/>
      <c r="H873" s="120" t="n"/>
      <c r="I873" s="117" t="n"/>
      <c r="J873" s="123" t="str">
        <f>IF(B873="","",IF(F873&lt;&gt;"",N(F873),ROUND(N(D873)*N(E873),2)))</f>
        <v/>
      </c>
      <c r="K873" s="123" t="str">
        <f>IF(B873="","",IF(H873&lt;&gt;"",N(H873),IF(B873="Dividendo",ROUND(J873*IFERROR(INDEX(Calcoli!$V$7:$V$21,MATCH(C873,Calcoli!$A$7:$A$21,0)),0.26),2),IF(B873="Vendita",ROUND(MAX(0,U873)*IFERROR(INDEX(Calcoli!$V$7:$V$21,MATCH(C873,Calcoli!$A$7:$A$21,0)),0.26),2),0))))</f>
        <v/>
      </c>
      <c r="L873" s="135" t="str">
        <f>IF(B873="","",IF(B873="Acquisto",-(J873+N(G873)),J873-N(G873)-K873))</f>
        <v/>
      </c>
      <c r="M873" s="127" t="str">
        <f>IF(B873="","",IF(ISNA(MATCH(C873,ETF!$A$7:$A$21,0)),"ETF?",IF(NOT(ISNUMBER(A873)),"Data?",IF(AND(B873&lt;&gt;"Dividendo",N(D873)&lt;=0),"Quote?",IF(AND(B873="Vendita",N(D873)&gt;N(Q873)+0.000001),"Quote?",IF(J873&lt;=0,"Importo?","✓"))))))</f>
        <v/>
      </c>
      <c r="N873" t="str">
        <f>IF(OR(B873="Acquisto",B873="Vendita"),COUNTIFS($C$5:C873,C873,$B$5:B873,"Acquisto")+COUNTIFS($C$5:C873,C873,$B$5:B873,"Vendita"),"")</f>
        <v/>
      </c>
      <c r="O873" t="str">
        <f>IF(N873="","",C873&amp;"|"&amp;N873)</f>
        <v/>
      </c>
      <c r="P873" t="str">
        <f>IF(N873="","",IF(N873=1,0,MATCH(C873&amp;"|"&amp;(N873-1),$O$5:$O$1004,0)))</f>
        <v/>
      </c>
      <c r="Q873" t="str">
        <f>IF(N873="","",IF(P873=0,SUMIFS(Calcoli!$C$7:$C$21,Calcoli!$A$7:$A$21,C873),INDEX($S$5:$S$1004,P873)))</f>
        <v/>
      </c>
      <c r="R873" t="str">
        <f>IF(N873="","",IF(P873=0,SUMIFS(Calcoli!$D$7:$D$21,Calcoli!$A$7:$A$21,C873),INDEX($T$5:$T$1004,P873)))</f>
        <v/>
      </c>
      <c r="S873" t="str">
        <f>IF(N873="","",IF(B873="Acquisto",Q873+N(D873),MAX(0,Q873-N(D873))))</f>
        <v/>
      </c>
      <c r="T873" t="str">
        <f>IF(N873="","",IF(B873="Acquisto",R873+J873+N(G873),IF(Q873&lt;=0,0,R873*(1-MIN(1,N(D873)/Q873)))))</f>
        <v/>
      </c>
      <c r="U873" t="str">
        <f>IF(B873&lt;&gt;"Vendita","",J873-N(G873)-IF(Q873&lt;=0,0,R873*MIN(1,N(D873)/Q873)))</f>
        <v/>
      </c>
      <c r="V873" t="str">
        <f>IF(B873&lt;&gt;"Dividendo","",IF(Calcoli!$B$251=1,J873,L873))</f>
        <v/>
      </c>
      <c r="W873" t="str">
        <f>IF(AND(V873&lt;&gt;"",ISNUMBER(A873)),A873,"")</f>
        <v/>
      </c>
    </row>
    <row r="874">
      <c r="A874" s="134" t="n"/>
      <c r="B874" s="116" t="n"/>
      <c r="C874" s="116" t="n"/>
      <c r="D874" s="121" t="n"/>
      <c r="E874" s="120" t="n"/>
      <c r="F874" s="120" t="n"/>
      <c r="G874" s="120" t="n"/>
      <c r="H874" s="120" t="n"/>
      <c r="I874" s="117" t="n"/>
      <c r="J874" s="123" t="str">
        <f>IF(B874="","",IF(F874&lt;&gt;"",N(F874),ROUND(N(D874)*N(E874),2)))</f>
        <v/>
      </c>
      <c r="K874" s="123" t="str">
        <f>IF(B874="","",IF(H874&lt;&gt;"",N(H874),IF(B874="Dividendo",ROUND(J874*IFERROR(INDEX(Calcoli!$V$7:$V$21,MATCH(C874,Calcoli!$A$7:$A$21,0)),0.26),2),IF(B874="Vendita",ROUND(MAX(0,U874)*IFERROR(INDEX(Calcoli!$V$7:$V$21,MATCH(C874,Calcoli!$A$7:$A$21,0)),0.26),2),0))))</f>
        <v/>
      </c>
      <c r="L874" s="135" t="str">
        <f>IF(B874="","",IF(B874="Acquisto",-(J874+N(G874)),J874-N(G874)-K874))</f>
        <v/>
      </c>
      <c r="M874" s="127" t="str">
        <f>IF(B874="","",IF(ISNA(MATCH(C874,ETF!$A$7:$A$21,0)),"ETF?",IF(NOT(ISNUMBER(A874)),"Data?",IF(AND(B874&lt;&gt;"Dividendo",N(D874)&lt;=0),"Quote?",IF(AND(B874="Vendita",N(D874)&gt;N(Q874)+0.000001),"Quote?",IF(J874&lt;=0,"Importo?","✓"))))))</f>
        <v/>
      </c>
      <c r="N874" t="str">
        <f>IF(OR(B874="Acquisto",B874="Vendita"),COUNTIFS($C$5:C874,C874,$B$5:B874,"Acquisto")+COUNTIFS($C$5:C874,C874,$B$5:B874,"Vendita"),"")</f>
        <v/>
      </c>
      <c r="O874" t="str">
        <f>IF(N874="","",C874&amp;"|"&amp;N874)</f>
        <v/>
      </c>
      <c r="P874" t="str">
        <f>IF(N874="","",IF(N874=1,0,MATCH(C874&amp;"|"&amp;(N874-1),$O$5:$O$1004,0)))</f>
        <v/>
      </c>
      <c r="Q874" t="str">
        <f>IF(N874="","",IF(P874=0,SUMIFS(Calcoli!$C$7:$C$21,Calcoli!$A$7:$A$21,C874),INDEX($S$5:$S$1004,P874)))</f>
        <v/>
      </c>
      <c r="R874" t="str">
        <f>IF(N874="","",IF(P874=0,SUMIFS(Calcoli!$D$7:$D$21,Calcoli!$A$7:$A$21,C874),INDEX($T$5:$T$1004,P874)))</f>
        <v/>
      </c>
      <c r="S874" t="str">
        <f>IF(N874="","",IF(B874="Acquisto",Q874+N(D874),MAX(0,Q874-N(D874))))</f>
        <v/>
      </c>
      <c r="T874" t="str">
        <f>IF(N874="","",IF(B874="Acquisto",R874+J874+N(G874),IF(Q874&lt;=0,0,R874*(1-MIN(1,N(D874)/Q874)))))</f>
        <v/>
      </c>
      <c r="U874" t="str">
        <f>IF(B874&lt;&gt;"Vendita","",J874-N(G874)-IF(Q874&lt;=0,0,R874*MIN(1,N(D874)/Q874)))</f>
        <v/>
      </c>
      <c r="V874" t="str">
        <f>IF(B874&lt;&gt;"Dividendo","",IF(Calcoli!$B$251=1,J874,L874))</f>
        <v/>
      </c>
      <c r="W874" t="str">
        <f>IF(AND(V874&lt;&gt;"",ISNUMBER(A874)),A874,"")</f>
        <v/>
      </c>
    </row>
    <row r="875">
      <c r="A875" s="134" t="n"/>
      <c r="B875" s="116" t="n"/>
      <c r="C875" s="116" t="n"/>
      <c r="D875" s="121" t="n"/>
      <c r="E875" s="120" t="n"/>
      <c r="F875" s="120" t="n"/>
      <c r="G875" s="120" t="n"/>
      <c r="H875" s="120" t="n"/>
      <c r="I875" s="117" t="n"/>
      <c r="J875" s="123" t="str">
        <f>IF(B875="","",IF(F875&lt;&gt;"",N(F875),ROUND(N(D875)*N(E875),2)))</f>
        <v/>
      </c>
      <c r="K875" s="123" t="str">
        <f>IF(B875="","",IF(H875&lt;&gt;"",N(H875),IF(B875="Dividendo",ROUND(J875*IFERROR(INDEX(Calcoli!$V$7:$V$21,MATCH(C875,Calcoli!$A$7:$A$21,0)),0.26),2),IF(B875="Vendita",ROUND(MAX(0,U875)*IFERROR(INDEX(Calcoli!$V$7:$V$21,MATCH(C875,Calcoli!$A$7:$A$21,0)),0.26),2),0))))</f>
        <v/>
      </c>
      <c r="L875" s="135" t="str">
        <f>IF(B875="","",IF(B875="Acquisto",-(J875+N(G875)),J875-N(G875)-K875))</f>
        <v/>
      </c>
      <c r="M875" s="127" t="str">
        <f>IF(B875="","",IF(ISNA(MATCH(C875,ETF!$A$7:$A$21,0)),"ETF?",IF(NOT(ISNUMBER(A875)),"Data?",IF(AND(B875&lt;&gt;"Dividendo",N(D875)&lt;=0),"Quote?",IF(AND(B875="Vendita",N(D875)&gt;N(Q875)+0.000001),"Quote?",IF(J875&lt;=0,"Importo?","✓"))))))</f>
        <v/>
      </c>
      <c r="N875" t="str">
        <f>IF(OR(B875="Acquisto",B875="Vendita"),COUNTIFS($C$5:C875,C875,$B$5:B875,"Acquisto")+COUNTIFS($C$5:C875,C875,$B$5:B875,"Vendita"),"")</f>
        <v/>
      </c>
      <c r="O875" t="str">
        <f>IF(N875="","",C875&amp;"|"&amp;N875)</f>
        <v/>
      </c>
      <c r="P875" t="str">
        <f>IF(N875="","",IF(N875=1,0,MATCH(C875&amp;"|"&amp;(N875-1),$O$5:$O$1004,0)))</f>
        <v/>
      </c>
      <c r="Q875" t="str">
        <f>IF(N875="","",IF(P875=0,SUMIFS(Calcoli!$C$7:$C$21,Calcoli!$A$7:$A$21,C875),INDEX($S$5:$S$1004,P875)))</f>
        <v/>
      </c>
      <c r="R875" t="str">
        <f>IF(N875="","",IF(P875=0,SUMIFS(Calcoli!$D$7:$D$21,Calcoli!$A$7:$A$21,C875),INDEX($T$5:$T$1004,P875)))</f>
        <v/>
      </c>
      <c r="S875" t="str">
        <f>IF(N875="","",IF(B875="Acquisto",Q875+N(D875),MAX(0,Q875-N(D875))))</f>
        <v/>
      </c>
      <c r="T875" t="str">
        <f>IF(N875="","",IF(B875="Acquisto",R875+J875+N(G875),IF(Q875&lt;=0,0,R875*(1-MIN(1,N(D875)/Q875)))))</f>
        <v/>
      </c>
      <c r="U875" t="str">
        <f>IF(B875&lt;&gt;"Vendita","",J875-N(G875)-IF(Q875&lt;=0,0,R875*MIN(1,N(D875)/Q875)))</f>
        <v/>
      </c>
      <c r="V875" t="str">
        <f>IF(B875&lt;&gt;"Dividendo","",IF(Calcoli!$B$251=1,J875,L875))</f>
        <v/>
      </c>
      <c r="W875" t="str">
        <f>IF(AND(V875&lt;&gt;"",ISNUMBER(A875)),A875,"")</f>
        <v/>
      </c>
    </row>
    <row r="876">
      <c r="A876" s="134" t="n"/>
      <c r="B876" s="116" t="n"/>
      <c r="C876" s="116" t="n"/>
      <c r="D876" s="121" t="n"/>
      <c r="E876" s="120" t="n"/>
      <c r="F876" s="120" t="n"/>
      <c r="G876" s="120" t="n"/>
      <c r="H876" s="120" t="n"/>
      <c r="I876" s="117" t="n"/>
      <c r="J876" s="123" t="str">
        <f>IF(B876="","",IF(F876&lt;&gt;"",N(F876),ROUND(N(D876)*N(E876),2)))</f>
        <v/>
      </c>
      <c r="K876" s="123" t="str">
        <f>IF(B876="","",IF(H876&lt;&gt;"",N(H876),IF(B876="Dividendo",ROUND(J876*IFERROR(INDEX(Calcoli!$V$7:$V$21,MATCH(C876,Calcoli!$A$7:$A$21,0)),0.26),2),IF(B876="Vendita",ROUND(MAX(0,U876)*IFERROR(INDEX(Calcoli!$V$7:$V$21,MATCH(C876,Calcoli!$A$7:$A$21,0)),0.26),2),0))))</f>
        <v/>
      </c>
      <c r="L876" s="135" t="str">
        <f>IF(B876="","",IF(B876="Acquisto",-(J876+N(G876)),J876-N(G876)-K876))</f>
        <v/>
      </c>
      <c r="M876" s="127" t="str">
        <f>IF(B876="","",IF(ISNA(MATCH(C876,ETF!$A$7:$A$21,0)),"ETF?",IF(NOT(ISNUMBER(A876)),"Data?",IF(AND(B876&lt;&gt;"Dividendo",N(D876)&lt;=0),"Quote?",IF(AND(B876="Vendita",N(D876)&gt;N(Q876)+0.000001),"Quote?",IF(J876&lt;=0,"Importo?","✓"))))))</f>
        <v/>
      </c>
      <c r="N876" t="str">
        <f>IF(OR(B876="Acquisto",B876="Vendita"),COUNTIFS($C$5:C876,C876,$B$5:B876,"Acquisto")+COUNTIFS($C$5:C876,C876,$B$5:B876,"Vendita"),"")</f>
        <v/>
      </c>
      <c r="O876" t="str">
        <f>IF(N876="","",C876&amp;"|"&amp;N876)</f>
        <v/>
      </c>
      <c r="P876" t="str">
        <f>IF(N876="","",IF(N876=1,0,MATCH(C876&amp;"|"&amp;(N876-1),$O$5:$O$1004,0)))</f>
        <v/>
      </c>
      <c r="Q876" t="str">
        <f>IF(N876="","",IF(P876=0,SUMIFS(Calcoli!$C$7:$C$21,Calcoli!$A$7:$A$21,C876),INDEX($S$5:$S$1004,P876)))</f>
        <v/>
      </c>
      <c r="R876" t="str">
        <f>IF(N876="","",IF(P876=0,SUMIFS(Calcoli!$D$7:$D$21,Calcoli!$A$7:$A$21,C876),INDEX($T$5:$T$1004,P876)))</f>
        <v/>
      </c>
      <c r="S876" t="str">
        <f>IF(N876="","",IF(B876="Acquisto",Q876+N(D876),MAX(0,Q876-N(D876))))</f>
        <v/>
      </c>
      <c r="T876" t="str">
        <f>IF(N876="","",IF(B876="Acquisto",R876+J876+N(G876),IF(Q876&lt;=0,0,R876*(1-MIN(1,N(D876)/Q876)))))</f>
        <v/>
      </c>
      <c r="U876" t="str">
        <f>IF(B876&lt;&gt;"Vendita","",J876-N(G876)-IF(Q876&lt;=0,0,R876*MIN(1,N(D876)/Q876)))</f>
        <v/>
      </c>
      <c r="V876" t="str">
        <f>IF(B876&lt;&gt;"Dividendo","",IF(Calcoli!$B$251=1,J876,L876))</f>
        <v/>
      </c>
      <c r="W876" t="str">
        <f>IF(AND(V876&lt;&gt;"",ISNUMBER(A876)),A876,"")</f>
        <v/>
      </c>
    </row>
    <row r="877">
      <c r="A877" s="134" t="n"/>
      <c r="B877" s="116" t="n"/>
      <c r="C877" s="116" t="n"/>
      <c r="D877" s="121" t="n"/>
      <c r="E877" s="120" t="n"/>
      <c r="F877" s="120" t="n"/>
      <c r="G877" s="120" t="n"/>
      <c r="H877" s="120" t="n"/>
      <c r="I877" s="117" t="n"/>
      <c r="J877" s="123" t="str">
        <f>IF(B877="","",IF(F877&lt;&gt;"",N(F877),ROUND(N(D877)*N(E877),2)))</f>
        <v/>
      </c>
      <c r="K877" s="123" t="str">
        <f>IF(B877="","",IF(H877&lt;&gt;"",N(H877),IF(B877="Dividendo",ROUND(J877*IFERROR(INDEX(Calcoli!$V$7:$V$21,MATCH(C877,Calcoli!$A$7:$A$21,0)),0.26),2),IF(B877="Vendita",ROUND(MAX(0,U877)*IFERROR(INDEX(Calcoli!$V$7:$V$21,MATCH(C877,Calcoli!$A$7:$A$21,0)),0.26),2),0))))</f>
        <v/>
      </c>
      <c r="L877" s="135" t="str">
        <f>IF(B877="","",IF(B877="Acquisto",-(J877+N(G877)),J877-N(G877)-K877))</f>
        <v/>
      </c>
      <c r="M877" s="127" t="str">
        <f>IF(B877="","",IF(ISNA(MATCH(C877,ETF!$A$7:$A$21,0)),"ETF?",IF(NOT(ISNUMBER(A877)),"Data?",IF(AND(B877&lt;&gt;"Dividendo",N(D877)&lt;=0),"Quote?",IF(AND(B877="Vendita",N(D877)&gt;N(Q877)+0.000001),"Quote?",IF(J877&lt;=0,"Importo?","✓"))))))</f>
        <v/>
      </c>
      <c r="N877" t="str">
        <f>IF(OR(B877="Acquisto",B877="Vendita"),COUNTIFS($C$5:C877,C877,$B$5:B877,"Acquisto")+COUNTIFS($C$5:C877,C877,$B$5:B877,"Vendita"),"")</f>
        <v/>
      </c>
      <c r="O877" t="str">
        <f>IF(N877="","",C877&amp;"|"&amp;N877)</f>
        <v/>
      </c>
      <c r="P877" t="str">
        <f>IF(N877="","",IF(N877=1,0,MATCH(C877&amp;"|"&amp;(N877-1),$O$5:$O$1004,0)))</f>
        <v/>
      </c>
      <c r="Q877" t="str">
        <f>IF(N877="","",IF(P877=0,SUMIFS(Calcoli!$C$7:$C$21,Calcoli!$A$7:$A$21,C877),INDEX($S$5:$S$1004,P877)))</f>
        <v/>
      </c>
      <c r="R877" t="str">
        <f>IF(N877="","",IF(P877=0,SUMIFS(Calcoli!$D$7:$D$21,Calcoli!$A$7:$A$21,C877),INDEX($T$5:$T$1004,P877)))</f>
        <v/>
      </c>
      <c r="S877" t="str">
        <f>IF(N877="","",IF(B877="Acquisto",Q877+N(D877),MAX(0,Q877-N(D877))))</f>
        <v/>
      </c>
      <c r="T877" t="str">
        <f>IF(N877="","",IF(B877="Acquisto",R877+J877+N(G877),IF(Q877&lt;=0,0,R877*(1-MIN(1,N(D877)/Q877)))))</f>
        <v/>
      </c>
      <c r="U877" t="str">
        <f>IF(B877&lt;&gt;"Vendita","",J877-N(G877)-IF(Q877&lt;=0,0,R877*MIN(1,N(D877)/Q877)))</f>
        <v/>
      </c>
      <c r="V877" t="str">
        <f>IF(B877&lt;&gt;"Dividendo","",IF(Calcoli!$B$251=1,J877,L877))</f>
        <v/>
      </c>
      <c r="W877" t="str">
        <f>IF(AND(V877&lt;&gt;"",ISNUMBER(A877)),A877,"")</f>
        <v/>
      </c>
    </row>
    <row r="878">
      <c r="A878" s="134" t="n"/>
      <c r="B878" s="116" t="n"/>
      <c r="C878" s="116" t="n"/>
      <c r="D878" s="121" t="n"/>
      <c r="E878" s="120" t="n"/>
      <c r="F878" s="120" t="n"/>
      <c r="G878" s="120" t="n"/>
      <c r="H878" s="120" t="n"/>
      <c r="I878" s="117" t="n"/>
      <c r="J878" s="123" t="str">
        <f>IF(B878="","",IF(F878&lt;&gt;"",N(F878),ROUND(N(D878)*N(E878),2)))</f>
        <v/>
      </c>
      <c r="K878" s="123" t="str">
        <f>IF(B878="","",IF(H878&lt;&gt;"",N(H878),IF(B878="Dividendo",ROUND(J878*IFERROR(INDEX(Calcoli!$V$7:$V$21,MATCH(C878,Calcoli!$A$7:$A$21,0)),0.26),2),IF(B878="Vendita",ROUND(MAX(0,U878)*IFERROR(INDEX(Calcoli!$V$7:$V$21,MATCH(C878,Calcoli!$A$7:$A$21,0)),0.26),2),0))))</f>
        <v/>
      </c>
      <c r="L878" s="135" t="str">
        <f>IF(B878="","",IF(B878="Acquisto",-(J878+N(G878)),J878-N(G878)-K878))</f>
        <v/>
      </c>
      <c r="M878" s="127" t="str">
        <f>IF(B878="","",IF(ISNA(MATCH(C878,ETF!$A$7:$A$21,0)),"ETF?",IF(NOT(ISNUMBER(A878)),"Data?",IF(AND(B878&lt;&gt;"Dividendo",N(D878)&lt;=0),"Quote?",IF(AND(B878="Vendita",N(D878)&gt;N(Q878)+0.000001),"Quote?",IF(J878&lt;=0,"Importo?","✓"))))))</f>
        <v/>
      </c>
      <c r="N878" t="str">
        <f>IF(OR(B878="Acquisto",B878="Vendita"),COUNTIFS($C$5:C878,C878,$B$5:B878,"Acquisto")+COUNTIFS($C$5:C878,C878,$B$5:B878,"Vendita"),"")</f>
        <v/>
      </c>
      <c r="O878" t="str">
        <f>IF(N878="","",C878&amp;"|"&amp;N878)</f>
        <v/>
      </c>
      <c r="P878" t="str">
        <f>IF(N878="","",IF(N878=1,0,MATCH(C878&amp;"|"&amp;(N878-1),$O$5:$O$1004,0)))</f>
        <v/>
      </c>
      <c r="Q878" t="str">
        <f>IF(N878="","",IF(P878=0,SUMIFS(Calcoli!$C$7:$C$21,Calcoli!$A$7:$A$21,C878),INDEX($S$5:$S$1004,P878)))</f>
        <v/>
      </c>
      <c r="R878" t="str">
        <f>IF(N878="","",IF(P878=0,SUMIFS(Calcoli!$D$7:$D$21,Calcoli!$A$7:$A$21,C878),INDEX($T$5:$T$1004,P878)))</f>
        <v/>
      </c>
      <c r="S878" t="str">
        <f>IF(N878="","",IF(B878="Acquisto",Q878+N(D878),MAX(0,Q878-N(D878))))</f>
        <v/>
      </c>
      <c r="T878" t="str">
        <f>IF(N878="","",IF(B878="Acquisto",R878+J878+N(G878),IF(Q878&lt;=0,0,R878*(1-MIN(1,N(D878)/Q878)))))</f>
        <v/>
      </c>
      <c r="U878" t="str">
        <f>IF(B878&lt;&gt;"Vendita","",J878-N(G878)-IF(Q878&lt;=0,0,R878*MIN(1,N(D878)/Q878)))</f>
        <v/>
      </c>
      <c r="V878" t="str">
        <f>IF(B878&lt;&gt;"Dividendo","",IF(Calcoli!$B$251=1,J878,L878))</f>
        <v/>
      </c>
      <c r="W878" t="str">
        <f>IF(AND(V878&lt;&gt;"",ISNUMBER(A878)),A878,"")</f>
        <v/>
      </c>
    </row>
    <row r="879">
      <c r="A879" s="134" t="n"/>
      <c r="B879" s="116" t="n"/>
      <c r="C879" s="116" t="n"/>
      <c r="D879" s="121" t="n"/>
      <c r="E879" s="120" t="n"/>
      <c r="F879" s="120" t="n"/>
      <c r="G879" s="120" t="n"/>
      <c r="H879" s="120" t="n"/>
      <c r="I879" s="117" t="n"/>
      <c r="J879" s="123" t="str">
        <f>IF(B879="","",IF(F879&lt;&gt;"",N(F879),ROUND(N(D879)*N(E879),2)))</f>
        <v/>
      </c>
      <c r="K879" s="123" t="str">
        <f>IF(B879="","",IF(H879&lt;&gt;"",N(H879),IF(B879="Dividendo",ROUND(J879*IFERROR(INDEX(Calcoli!$V$7:$V$21,MATCH(C879,Calcoli!$A$7:$A$21,0)),0.26),2),IF(B879="Vendita",ROUND(MAX(0,U879)*IFERROR(INDEX(Calcoli!$V$7:$V$21,MATCH(C879,Calcoli!$A$7:$A$21,0)),0.26),2),0))))</f>
        <v/>
      </c>
      <c r="L879" s="135" t="str">
        <f>IF(B879="","",IF(B879="Acquisto",-(J879+N(G879)),J879-N(G879)-K879))</f>
        <v/>
      </c>
      <c r="M879" s="127" t="str">
        <f>IF(B879="","",IF(ISNA(MATCH(C879,ETF!$A$7:$A$21,0)),"ETF?",IF(NOT(ISNUMBER(A879)),"Data?",IF(AND(B879&lt;&gt;"Dividendo",N(D879)&lt;=0),"Quote?",IF(AND(B879="Vendita",N(D879)&gt;N(Q879)+0.000001),"Quote?",IF(J879&lt;=0,"Importo?","✓"))))))</f>
        <v/>
      </c>
      <c r="N879" t="str">
        <f>IF(OR(B879="Acquisto",B879="Vendita"),COUNTIFS($C$5:C879,C879,$B$5:B879,"Acquisto")+COUNTIFS($C$5:C879,C879,$B$5:B879,"Vendita"),"")</f>
        <v/>
      </c>
      <c r="O879" t="str">
        <f>IF(N879="","",C879&amp;"|"&amp;N879)</f>
        <v/>
      </c>
      <c r="P879" t="str">
        <f>IF(N879="","",IF(N879=1,0,MATCH(C879&amp;"|"&amp;(N879-1),$O$5:$O$1004,0)))</f>
        <v/>
      </c>
      <c r="Q879" t="str">
        <f>IF(N879="","",IF(P879=0,SUMIFS(Calcoli!$C$7:$C$21,Calcoli!$A$7:$A$21,C879),INDEX($S$5:$S$1004,P879)))</f>
        <v/>
      </c>
      <c r="R879" t="str">
        <f>IF(N879="","",IF(P879=0,SUMIFS(Calcoli!$D$7:$D$21,Calcoli!$A$7:$A$21,C879),INDEX($T$5:$T$1004,P879)))</f>
        <v/>
      </c>
      <c r="S879" t="str">
        <f>IF(N879="","",IF(B879="Acquisto",Q879+N(D879),MAX(0,Q879-N(D879))))</f>
        <v/>
      </c>
      <c r="T879" t="str">
        <f>IF(N879="","",IF(B879="Acquisto",R879+J879+N(G879),IF(Q879&lt;=0,0,R879*(1-MIN(1,N(D879)/Q879)))))</f>
        <v/>
      </c>
      <c r="U879" t="str">
        <f>IF(B879&lt;&gt;"Vendita","",J879-N(G879)-IF(Q879&lt;=0,0,R879*MIN(1,N(D879)/Q879)))</f>
        <v/>
      </c>
      <c r="V879" t="str">
        <f>IF(B879&lt;&gt;"Dividendo","",IF(Calcoli!$B$251=1,J879,L879))</f>
        <v/>
      </c>
      <c r="W879" t="str">
        <f>IF(AND(V879&lt;&gt;"",ISNUMBER(A879)),A879,"")</f>
        <v/>
      </c>
    </row>
    <row r="880">
      <c r="A880" s="134" t="n"/>
      <c r="B880" s="116" t="n"/>
      <c r="C880" s="116" t="n"/>
      <c r="D880" s="121" t="n"/>
      <c r="E880" s="120" t="n"/>
      <c r="F880" s="120" t="n"/>
      <c r="G880" s="120" t="n"/>
      <c r="H880" s="120" t="n"/>
      <c r="I880" s="117" t="n"/>
      <c r="J880" s="123" t="str">
        <f>IF(B880="","",IF(F880&lt;&gt;"",N(F880),ROUND(N(D880)*N(E880),2)))</f>
        <v/>
      </c>
      <c r="K880" s="123" t="str">
        <f>IF(B880="","",IF(H880&lt;&gt;"",N(H880),IF(B880="Dividendo",ROUND(J880*IFERROR(INDEX(Calcoli!$V$7:$V$21,MATCH(C880,Calcoli!$A$7:$A$21,0)),0.26),2),IF(B880="Vendita",ROUND(MAX(0,U880)*IFERROR(INDEX(Calcoli!$V$7:$V$21,MATCH(C880,Calcoli!$A$7:$A$21,0)),0.26),2),0))))</f>
        <v/>
      </c>
      <c r="L880" s="135" t="str">
        <f>IF(B880="","",IF(B880="Acquisto",-(J880+N(G880)),J880-N(G880)-K880))</f>
        <v/>
      </c>
      <c r="M880" s="127" t="str">
        <f>IF(B880="","",IF(ISNA(MATCH(C880,ETF!$A$7:$A$21,0)),"ETF?",IF(NOT(ISNUMBER(A880)),"Data?",IF(AND(B880&lt;&gt;"Dividendo",N(D880)&lt;=0),"Quote?",IF(AND(B880="Vendita",N(D880)&gt;N(Q880)+0.000001),"Quote?",IF(J880&lt;=0,"Importo?","✓"))))))</f>
        <v/>
      </c>
      <c r="N880" t="str">
        <f>IF(OR(B880="Acquisto",B880="Vendita"),COUNTIFS($C$5:C880,C880,$B$5:B880,"Acquisto")+COUNTIFS($C$5:C880,C880,$B$5:B880,"Vendita"),"")</f>
        <v/>
      </c>
      <c r="O880" t="str">
        <f>IF(N880="","",C880&amp;"|"&amp;N880)</f>
        <v/>
      </c>
      <c r="P880" t="str">
        <f>IF(N880="","",IF(N880=1,0,MATCH(C880&amp;"|"&amp;(N880-1),$O$5:$O$1004,0)))</f>
        <v/>
      </c>
      <c r="Q880" t="str">
        <f>IF(N880="","",IF(P880=0,SUMIFS(Calcoli!$C$7:$C$21,Calcoli!$A$7:$A$21,C880),INDEX($S$5:$S$1004,P880)))</f>
        <v/>
      </c>
      <c r="R880" t="str">
        <f>IF(N880="","",IF(P880=0,SUMIFS(Calcoli!$D$7:$D$21,Calcoli!$A$7:$A$21,C880),INDEX($T$5:$T$1004,P880)))</f>
        <v/>
      </c>
      <c r="S880" t="str">
        <f>IF(N880="","",IF(B880="Acquisto",Q880+N(D880),MAX(0,Q880-N(D880))))</f>
        <v/>
      </c>
      <c r="T880" t="str">
        <f>IF(N880="","",IF(B880="Acquisto",R880+J880+N(G880),IF(Q880&lt;=0,0,R880*(1-MIN(1,N(D880)/Q880)))))</f>
        <v/>
      </c>
      <c r="U880" t="str">
        <f>IF(B880&lt;&gt;"Vendita","",J880-N(G880)-IF(Q880&lt;=0,0,R880*MIN(1,N(D880)/Q880)))</f>
        <v/>
      </c>
      <c r="V880" t="str">
        <f>IF(B880&lt;&gt;"Dividendo","",IF(Calcoli!$B$251=1,J880,L880))</f>
        <v/>
      </c>
      <c r="W880" t="str">
        <f>IF(AND(V880&lt;&gt;"",ISNUMBER(A880)),A880,"")</f>
        <v/>
      </c>
    </row>
    <row r="881">
      <c r="A881" s="134" t="n"/>
      <c r="B881" s="116" t="n"/>
      <c r="C881" s="116" t="n"/>
      <c r="D881" s="121" t="n"/>
      <c r="E881" s="120" t="n"/>
      <c r="F881" s="120" t="n"/>
      <c r="G881" s="120" t="n"/>
      <c r="H881" s="120" t="n"/>
      <c r="I881" s="117" t="n"/>
      <c r="J881" s="123" t="str">
        <f>IF(B881="","",IF(F881&lt;&gt;"",N(F881),ROUND(N(D881)*N(E881),2)))</f>
        <v/>
      </c>
      <c r="K881" s="123" t="str">
        <f>IF(B881="","",IF(H881&lt;&gt;"",N(H881),IF(B881="Dividendo",ROUND(J881*IFERROR(INDEX(Calcoli!$V$7:$V$21,MATCH(C881,Calcoli!$A$7:$A$21,0)),0.26),2),IF(B881="Vendita",ROUND(MAX(0,U881)*IFERROR(INDEX(Calcoli!$V$7:$V$21,MATCH(C881,Calcoli!$A$7:$A$21,0)),0.26),2),0))))</f>
        <v/>
      </c>
      <c r="L881" s="135" t="str">
        <f>IF(B881="","",IF(B881="Acquisto",-(J881+N(G881)),J881-N(G881)-K881))</f>
        <v/>
      </c>
      <c r="M881" s="127" t="str">
        <f>IF(B881="","",IF(ISNA(MATCH(C881,ETF!$A$7:$A$21,0)),"ETF?",IF(NOT(ISNUMBER(A881)),"Data?",IF(AND(B881&lt;&gt;"Dividendo",N(D881)&lt;=0),"Quote?",IF(AND(B881="Vendita",N(D881)&gt;N(Q881)+0.000001),"Quote?",IF(J881&lt;=0,"Importo?","✓"))))))</f>
        <v/>
      </c>
      <c r="N881" t="str">
        <f>IF(OR(B881="Acquisto",B881="Vendita"),COUNTIFS($C$5:C881,C881,$B$5:B881,"Acquisto")+COUNTIFS($C$5:C881,C881,$B$5:B881,"Vendita"),"")</f>
        <v/>
      </c>
      <c r="O881" t="str">
        <f>IF(N881="","",C881&amp;"|"&amp;N881)</f>
        <v/>
      </c>
      <c r="P881" t="str">
        <f>IF(N881="","",IF(N881=1,0,MATCH(C881&amp;"|"&amp;(N881-1),$O$5:$O$1004,0)))</f>
        <v/>
      </c>
      <c r="Q881" t="str">
        <f>IF(N881="","",IF(P881=0,SUMIFS(Calcoli!$C$7:$C$21,Calcoli!$A$7:$A$21,C881),INDEX($S$5:$S$1004,P881)))</f>
        <v/>
      </c>
      <c r="R881" t="str">
        <f>IF(N881="","",IF(P881=0,SUMIFS(Calcoli!$D$7:$D$21,Calcoli!$A$7:$A$21,C881),INDEX($T$5:$T$1004,P881)))</f>
        <v/>
      </c>
      <c r="S881" t="str">
        <f>IF(N881="","",IF(B881="Acquisto",Q881+N(D881),MAX(0,Q881-N(D881))))</f>
        <v/>
      </c>
      <c r="T881" t="str">
        <f>IF(N881="","",IF(B881="Acquisto",R881+J881+N(G881),IF(Q881&lt;=0,0,R881*(1-MIN(1,N(D881)/Q881)))))</f>
        <v/>
      </c>
      <c r="U881" t="str">
        <f>IF(B881&lt;&gt;"Vendita","",J881-N(G881)-IF(Q881&lt;=0,0,R881*MIN(1,N(D881)/Q881)))</f>
        <v/>
      </c>
      <c r="V881" t="str">
        <f>IF(B881&lt;&gt;"Dividendo","",IF(Calcoli!$B$251=1,J881,L881))</f>
        <v/>
      </c>
      <c r="W881" t="str">
        <f>IF(AND(V881&lt;&gt;"",ISNUMBER(A881)),A881,"")</f>
        <v/>
      </c>
    </row>
    <row r="882">
      <c r="A882" s="134" t="n"/>
      <c r="B882" s="116" t="n"/>
      <c r="C882" s="116" t="n"/>
      <c r="D882" s="121" t="n"/>
      <c r="E882" s="120" t="n"/>
      <c r="F882" s="120" t="n"/>
      <c r="G882" s="120" t="n"/>
      <c r="H882" s="120" t="n"/>
      <c r="I882" s="117" t="n"/>
      <c r="J882" s="123" t="str">
        <f>IF(B882="","",IF(F882&lt;&gt;"",N(F882),ROUND(N(D882)*N(E882),2)))</f>
        <v/>
      </c>
      <c r="K882" s="123" t="str">
        <f>IF(B882="","",IF(H882&lt;&gt;"",N(H882),IF(B882="Dividendo",ROUND(J882*IFERROR(INDEX(Calcoli!$V$7:$V$21,MATCH(C882,Calcoli!$A$7:$A$21,0)),0.26),2),IF(B882="Vendita",ROUND(MAX(0,U882)*IFERROR(INDEX(Calcoli!$V$7:$V$21,MATCH(C882,Calcoli!$A$7:$A$21,0)),0.26),2),0))))</f>
        <v/>
      </c>
      <c r="L882" s="135" t="str">
        <f>IF(B882="","",IF(B882="Acquisto",-(J882+N(G882)),J882-N(G882)-K882))</f>
        <v/>
      </c>
      <c r="M882" s="127" t="str">
        <f>IF(B882="","",IF(ISNA(MATCH(C882,ETF!$A$7:$A$21,0)),"ETF?",IF(NOT(ISNUMBER(A882)),"Data?",IF(AND(B882&lt;&gt;"Dividendo",N(D882)&lt;=0),"Quote?",IF(AND(B882="Vendita",N(D882)&gt;N(Q882)+0.000001),"Quote?",IF(J882&lt;=0,"Importo?","✓"))))))</f>
        <v/>
      </c>
      <c r="N882" t="str">
        <f>IF(OR(B882="Acquisto",B882="Vendita"),COUNTIFS($C$5:C882,C882,$B$5:B882,"Acquisto")+COUNTIFS($C$5:C882,C882,$B$5:B882,"Vendita"),"")</f>
        <v/>
      </c>
      <c r="O882" t="str">
        <f>IF(N882="","",C882&amp;"|"&amp;N882)</f>
        <v/>
      </c>
      <c r="P882" t="str">
        <f>IF(N882="","",IF(N882=1,0,MATCH(C882&amp;"|"&amp;(N882-1),$O$5:$O$1004,0)))</f>
        <v/>
      </c>
      <c r="Q882" t="str">
        <f>IF(N882="","",IF(P882=0,SUMIFS(Calcoli!$C$7:$C$21,Calcoli!$A$7:$A$21,C882),INDEX($S$5:$S$1004,P882)))</f>
        <v/>
      </c>
      <c r="R882" t="str">
        <f>IF(N882="","",IF(P882=0,SUMIFS(Calcoli!$D$7:$D$21,Calcoli!$A$7:$A$21,C882),INDEX($T$5:$T$1004,P882)))</f>
        <v/>
      </c>
      <c r="S882" t="str">
        <f>IF(N882="","",IF(B882="Acquisto",Q882+N(D882),MAX(0,Q882-N(D882))))</f>
        <v/>
      </c>
      <c r="T882" t="str">
        <f>IF(N882="","",IF(B882="Acquisto",R882+J882+N(G882),IF(Q882&lt;=0,0,R882*(1-MIN(1,N(D882)/Q882)))))</f>
        <v/>
      </c>
      <c r="U882" t="str">
        <f>IF(B882&lt;&gt;"Vendita","",J882-N(G882)-IF(Q882&lt;=0,0,R882*MIN(1,N(D882)/Q882)))</f>
        <v/>
      </c>
      <c r="V882" t="str">
        <f>IF(B882&lt;&gt;"Dividendo","",IF(Calcoli!$B$251=1,J882,L882))</f>
        <v/>
      </c>
      <c r="W882" t="str">
        <f>IF(AND(V882&lt;&gt;"",ISNUMBER(A882)),A882,"")</f>
        <v/>
      </c>
    </row>
    <row r="883">
      <c r="A883" s="134" t="n"/>
      <c r="B883" s="116" t="n"/>
      <c r="C883" s="116" t="n"/>
      <c r="D883" s="121" t="n"/>
      <c r="E883" s="120" t="n"/>
      <c r="F883" s="120" t="n"/>
      <c r="G883" s="120" t="n"/>
      <c r="H883" s="120" t="n"/>
      <c r="I883" s="117" t="n"/>
      <c r="J883" s="123" t="str">
        <f>IF(B883="","",IF(F883&lt;&gt;"",N(F883),ROUND(N(D883)*N(E883),2)))</f>
        <v/>
      </c>
      <c r="K883" s="123" t="str">
        <f>IF(B883="","",IF(H883&lt;&gt;"",N(H883),IF(B883="Dividendo",ROUND(J883*IFERROR(INDEX(Calcoli!$V$7:$V$21,MATCH(C883,Calcoli!$A$7:$A$21,0)),0.26),2),IF(B883="Vendita",ROUND(MAX(0,U883)*IFERROR(INDEX(Calcoli!$V$7:$V$21,MATCH(C883,Calcoli!$A$7:$A$21,0)),0.26),2),0))))</f>
        <v/>
      </c>
      <c r="L883" s="135" t="str">
        <f>IF(B883="","",IF(B883="Acquisto",-(J883+N(G883)),J883-N(G883)-K883))</f>
        <v/>
      </c>
      <c r="M883" s="127" t="str">
        <f>IF(B883="","",IF(ISNA(MATCH(C883,ETF!$A$7:$A$21,0)),"ETF?",IF(NOT(ISNUMBER(A883)),"Data?",IF(AND(B883&lt;&gt;"Dividendo",N(D883)&lt;=0),"Quote?",IF(AND(B883="Vendita",N(D883)&gt;N(Q883)+0.000001),"Quote?",IF(J883&lt;=0,"Importo?","✓"))))))</f>
        <v/>
      </c>
      <c r="N883" t="str">
        <f>IF(OR(B883="Acquisto",B883="Vendita"),COUNTIFS($C$5:C883,C883,$B$5:B883,"Acquisto")+COUNTIFS($C$5:C883,C883,$B$5:B883,"Vendita"),"")</f>
        <v/>
      </c>
      <c r="O883" t="str">
        <f>IF(N883="","",C883&amp;"|"&amp;N883)</f>
        <v/>
      </c>
      <c r="P883" t="str">
        <f>IF(N883="","",IF(N883=1,0,MATCH(C883&amp;"|"&amp;(N883-1),$O$5:$O$1004,0)))</f>
        <v/>
      </c>
      <c r="Q883" t="str">
        <f>IF(N883="","",IF(P883=0,SUMIFS(Calcoli!$C$7:$C$21,Calcoli!$A$7:$A$21,C883),INDEX($S$5:$S$1004,P883)))</f>
        <v/>
      </c>
      <c r="R883" t="str">
        <f>IF(N883="","",IF(P883=0,SUMIFS(Calcoli!$D$7:$D$21,Calcoli!$A$7:$A$21,C883),INDEX($T$5:$T$1004,P883)))</f>
        <v/>
      </c>
      <c r="S883" t="str">
        <f>IF(N883="","",IF(B883="Acquisto",Q883+N(D883),MAX(0,Q883-N(D883))))</f>
        <v/>
      </c>
      <c r="T883" t="str">
        <f>IF(N883="","",IF(B883="Acquisto",R883+J883+N(G883),IF(Q883&lt;=0,0,R883*(1-MIN(1,N(D883)/Q883)))))</f>
        <v/>
      </c>
      <c r="U883" t="str">
        <f>IF(B883&lt;&gt;"Vendita","",J883-N(G883)-IF(Q883&lt;=0,0,R883*MIN(1,N(D883)/Q883)))</f>
        <v/>
      </c>
      <c r="V883" t="str">
        <f>IF(B883&lt;&gt;"Dividendo","",IF(Calcoli!$B$251=1,J883,L883))</f>
        <v/>
      </c>
      <c r="W883" t="str">
        <f>IF(AND(V883&lt;&gt;"",ISNUMBER(A883)),A883,"")</f>
        <v/>
      </c>
    </row>
    <row r="884">
      <c r="A884" s="134" t="n"/>
      <c r="B884" s="116" t="n"/>
      <c r="C884" s="116" t="n"/>
      <c r="D884" s="121" t="n"/>
      <c r="E884" s="120" t="n"/>
      <c r="F884" s="120" t="n"/>
      <c r="G884" s="120" t="n"/>
      <c r="H884" s="120" t="n"/>
      <c r="I884" s="117" t="n"/>
      <c r="J884" s="123" t="str">
        <f>IF(B884="","",IF(F884&lt;&gt;"",N(F884),ROUND(N(D884)*N(E884),2)))</f>
        <v/>
      </c>
      <c r="K884" s="123" t="str">
        <f>IF(B884="","",IF(H884&lt;&gt;"",N(H884),IF(B884="Dividendo",ROUND(J884*IFERROR(INDEX(Calcoli!$V$7:$V$21,MATCH(C884,Calcoli!$A$7:$A$21,0)),0.26),2),IF(B884="Vendita",ROUND(MAX(0,U884)*IFERROR(INDEX(Calcoli!$V$7:$V$21,MATCH(C884,Calcoli!$A$7:$A$21,0)),0.26),2),0))))</f>
        <v/>
      </c>
      <c r="L884" s="135" t="str">
        <f>IF(B884="","",IF(B884="Acquisto",-(J884+N(G884)),J884-N(G884)-K884))</f>
        <v/>
      </c>
      <c r="M884" s="127" t="str">
        <f>IF(B884="","",IF(ISNA(MATCH(C884,ETF!$A$7:$A$21,0)),"ETF?",IF(NOT(ISNUMBER(A884)),"Data?",IF(AND(B884&lt;&gt;"Dividendo",N(D884)&lt;=0),"Quote?",IF(AND(B884="Vendita",N(D884)&gt;N(Q884)+0.000001),"Quote?",IF(J884&lt;=0,"Importo?","✓"))))))</f>
        <v/>
      </c>
      <c r="N884" t="str">
        <f>IF(OR(B884="Acquisto",B884="Vendita"),COUNTIFS($C$5:C884,C884,$B$5:B884,"Acquisto")+COUNTIFS($C$5:C884,C884,$B$5:B884,"Vendita"),"")</f>
        <v/>
      </c>
      <c r="O884" t="str">
        <f>IF(N884="","",C884&amp;"|"&amp;N884)</f>
        <v/>
      </c>
      <c r="P884" t="str">
        <f>IF(N884="","",IF(N884=1,0,MATCH(C884&amp;"|"&amp;(N884-1),$O$5:$O$1004,0)))</f>
        <v/>
      </c>
      <c r="Q884" t="str">
        <f>IF(N884="","",IF(P884=0,SUMIFS(Calcoli!$C$7:$C$21,Calcoli!$A$7:$A$21,C884),INDEX($S$5:$S$1004,P884)))</f>
        <v/>
      </c>
      <c r="R884" t="str">
        <f>IF(N884="","",IF(P884=0,SUMIFS(Calcoli!$D$7:$D$21,Calcoli!$A$7:$A$21,C884),INDEX($T$5:$T$1004,P884)))</f>
        <v/>
      </c>
      <c r="S884" t="str">
        <f>IF(N884="","",IF(B884="Acquisto",Q884+N(D884),MAX(0,Q884-N(D884))))</f>
        <v/>
      </c>
      <c r="T884" t="str">
        <f>IF(N884="","",IF(B884="Acquisto",R884+J884+N(G884),IF(Q884&lt;=0,0,R884*(1-MIN(1,N(D884)/Q884)))))</f>
        <v/>
      </c>
      <c r="U884" t="str">
        <f>IF(B884&lt;&gt;"Vendita","",J884-N(G884)-IF(Q884&lt;=0,0,R884*MIN(1,N(D884)/Q884)))</f>
        <v/>
      </c>
      <c r="V884" t="str">
        <f>IF(B884&lt;&gt;"Dividendo","",IF(Calcoli!$B$251=1,J884,L884))</f>
        <v/>
      </c>
      <c r="W884" t="str">
        <f>IF(AND(V884&lt;&gt;"",ISNUMBER(A884)),A884,"")</f>
        <v/>
      </c>
    </row>
    <row r="885">
      <c r="A885" s="134" t="n"/>
      <c r="B885" s="116" t="n"/>
      <c r="C885" s="116" t="n"/>
      <c r="D885" s="121" t="n"/>
      <c r="E885" s="120" t="n"/>
      <c r="F885" s="120" t="n"/>
      <c r="G885" s="120" t="n"/>
      <c r="H885" s="120" t="n"/>
      <c r="I885" s="117" t="n"/>
      <c r="J885" s="123" t="str">
        <f>IF(B885="","",IF(F885&lt;&gt;"",N(F885),ROUND(N(D885)*N(E885),2)))</f>
        <v/>
      </c>
      <c r="K885" s="123" t="str">
        <f>IF(B885="","",IF(H885&lt;&gt;"",N(H885),IF(B885="Dividendo",ROUND(J885*IFERROR(INDEX(Calcoli!$V$7:$V$21,MATCH(C885,Calcoli!$A$7:$A$21,0)),0.26),2),IF(B885="Vendita",ROUND(MAX(0,U885)*IFERROR(INDEX(Calcoli!$V$7:$V$21,MATCH(C885,Calcoli!$A$7:$A$21,0)),0.26),2),0))))</f>
        <v/>
      </c>
      <c r="L885" s="135" t="str">
        <f>IF(B885="","",IF(B885="Acquisto",-(J885+N(G885)),J885-N(G885)-K885))</f>
        <v/>
      </c>
      <c r="M885" s="127" t="str">
        <f>IF(B885="","",IF(ISNA(MATCH(C885,ETF!$A$7:$A$21,0)),"ETF?",IF(NOT(ISNUMBER(A885)),"Data?",IF(AND(B885&lt;&gt;"Dividendo",N(D885)&lt;=0),"Quote?",IF(AND(B885="Vendita",N(D885)&gt;N(Q885)+0.000001),"Quote?",IF(J885&lt;=0,"Importo?","✓"))))))</f>
        <v/>
      </c>
      <c r="N885" t="str">
        <f>IF(OR(B885="Acquisto",B885="Vendita"),COUNTIFS($C$5:C885,C885,$B$5:B885,"Acquisto")+COUNTIFS($C$5:C885,C885,$B$5:B885,"Vendita"),"")</f>
        <v/>
      </c>
      <c r="O885" t="str">
        <f>IF(N885="","",C885&amp;"|"&amp;N885)</f>
        <v/>
      </c>
      <c r="P885" t="str">
        <f>IF(N885="","",IF(N885=1,0,MATCH(C885&amp;"|"&amp;(N885-1),$O$5:$O$1004,0)))</f>
        <v/>
      </c>
      <c r="Q885" t="str">
        <f>IF(N885="","",IF(P885=0,SUMIFS(Calcoli!$C$7:$C$21,Calcoli!$A$7:$A$21,C885),INDEX($S$5:$S$1004,P885)))</f>
        <v/>
      </c>
      <c r="R885" t="str">
        <f>IF(N885="","",IF(P885=0,SUMIFS(Calcoli!$D$7:$D$21,Calcoli!$A$7:$A$21,C885),INDEX($T$5:$T$1004,P885)))</f>
        <v/>
      </c>
      <c r="S885" t="str">
        <f>IF(N885="","",IF(B885="Acquisto",Q885+N(D885),MAX(0,Q885-N(D885))))</f>
        <v/>
      </c>
      <c r="T885" t="str">
        <f>IF(N885="","",IF(B885="Acquisto",R885+J885+N(G885),IF(Q885&lt;=0,0,R885*(1-MIN(1,N(D885)/Q885)))))</f>
        <v/>
      </c>
      <c r="U885" t="str">
        <f>IF(B885&lt;&gt;"Vendita","",J885-N(G885)-IF(Q885&lt;=0,0,R885*MIN(1,N(D885)/Q885)))</f>
        <v/>
      </c>
      <c r="V885" t="str">
        <f>IF(B885&lt;&gt;"Dividendo","",IF(Calcoli!$B$251=1,J885,L885))</f>
        <v/>
      </c>
      <c r="W885" t="str">
        <f>IF(AND(V885&lt;&gt;"",ISNUMBER(A885)),A885,"")</f>
        <v/>
      </c>
    </row>
    <row r="886">
      <c r="A886" s="134" t="n"/>
      <c r="B886" s="116" t="n"/>
      <c r="C886" s="116" t="n"/>
      <c r="D886" s="121" t="n"/>
      <c r="E886" s="120" t="n"/>
      <c r="F886" s="120" t="n"/>
      <c r="G886" s="120" t="n"/>
      <c r="H886" s="120" t="n"/>
      <c r="I886" s="117" t="n"/>
      <c r="J886" s="123" t="str">
        <f>IF(B886="","",IF(F886&lt;&gt;"",N(F886),ROUND(N(D886)*N(E886),2)))</f>
        <v/>
      </c>
      <c r="K886" s="123" t="str">
        <f>IF(B886="","",IF(H886&lt;&gt;"",N(H886),IF(B886="Dividendo",ROUND(J886*IFERROR(INDEX(Calcoli!$V$7:$V$21,MATCH(C886,Calcoli!$A$7:$A$21,0)),0.26),2),IF(B886="Vendita",ROUND(MAX(0,U886)*IFERROR(INDEX(Calcoli!$V$7:$V$21,MATCH(C886,Calcoli!$A$7:$A$21,0)),0.26),2),0))))</f>
        <v/>
      </c>
      <c r="L886" s="135" t="str">
        <f>IF(B886="","",IF(B886="Acquisto",-(J886+N(G886)),J886-N(G886)-K886))</f>
        <v/>
      </c>
      <c r="M886" s="127" t="str">
        <f>IF(B886="","",IF(ISNA(MATCH(C886,ETF!$A$7:$A$21,0)),"ETF?",IF(NOT(ISNUMBER(A886)),"Data?",IF(AND(B886&lt;&gt;"Dividendo",N(D886)&lt;=0),"Quote?",IF(AND(B886="Vendita",N(D886)&gt;N(Q886)+0.000001),"Quote?",IF(J886&lt;=0,"Importo?","✓"))))))</f>
        <v/>
      </c>
      <c r="N886" t="str">
        <f>IF(OR(B886="Acquisto",B886="Vendita"),COUNTIFS($C$5:C886,C886,$B$5:B886,"Acquisto")+COUNTIFS($C$5:C886,C886,$B$5:B886,"Vendita"),"")</f>
        <v/>
      </c>
      <c r="O886" t="str">
        <f>IF(N886="","",C886&amp;"|"&amp;N886)</f>
        <v/>
      </c>
      <c r="P886" t="str">
        <f>IF(N886="","",IF(N886=1,0,MATCH(C886&amp;"|"&amp;(N886-1),$O$5:$O$1004,0)))</f>
        <v/>
      </c>
      <c r="Q886" t="str">
        <f>IF(N886="","",IF(P886=0,SUMIFS(Calcoli!$C$7:$C$21,Calcoli!$A$7:$A$21,C886),INDEX($S$5:$S$1004,P886)))</f>
        <v/>
      </c>
      <c r="R886" t="str">
        <f>IF(N886="","",IF(P886=0,SUMIFS(Calcoli!$D$7:$D$21,Calcoli!$A$7:$A$21,C886),INDEX($T$5:$T$1004,P886)))</f>
        <v/>
      </c>
      <c r="S886" t="str">
        <f>IF(N886="","",IF(B886="Acquisto",Q886+N(D886),MAX(0,Q886-N(D886))))</f>
        <v/>
      </c>
      <c r="T886" t="str">
        <f>IF(N886="","",IF(B886="Acquisto",R886+J886+N(G886),IF(Q886&lt;=0,0,R886*(1-MIN(1,N(D886)/Q886)))))</f>
        <v/>
      </c>
      <c r="U886" t="str">
        <f>IF(B886&lt;&gt;"Vendita","",J886-N(G886)-IF(Q886&lt;=0,0,R886*MIN(1,N(D886)/Q886)))</f>
        <v/>
      </c>
      <c r="V886" t="str">
        <f>IF(B886&lt;&gt;"Dividendo","",IF(Calcoli!$B$251=1,J886,L886))</f>
        <v/>
      </c>
      <c r="W886" t="str">
        <f>IF(AND(V886&lt;&gt;"",ISNUMBER(A886)),A886,"")</f>
        <v/>
      </c>
    </row>
    <row r="887">
      <c r="A887" s="134" t="n"/>
      <c r="B887" s="116" t="n"/>
      <c r="C887" s="116" t="n"/>
      <c r="D887" s="121" t="n"/>
      <c r="E887" s="120" t="n"/>
      <c r="F887" s="120" t="n"/>
      <c r="G887" s="120" t="n"/>
      <c r="H887" s="120" t="n"/>
      <c r="I887" s="117" t="n"/>
      <c r="J887" s="123" t="str">
        <f>IF(B887="","",IF(F887&lt;&gt;"",N(F887),ROUND(N(D887)*N(E887),2)))</f>
        <v/>
      </c>
      <c r="K887" s="123" t="str">
        <f>IF(B887="","",IF(H887&lt;&gt;"",N(H887),IF(B887="Dividendo",ROUND(J887*IFERROR(INDEX(Calcoli!$V$7:$V$21,MATCH(C887,Calcoli!$A$7:$A$21,0)),0.26),2),IF(B887="Vendita",ROUND(MAX(0,U887)*IFERROR(INDEX(Calcoli!$V$7:$V$21,MATCH(C887,Calcoli!$A$7:$A$21,0)),0.26),2),0))))</f>
        <v/>
      </c>
      <c r="L887" s="135" t="str">
        <f>IF(B887="","",IF(B887="Acquisto",-(J887+N(G887)),J887-N(G887)-K887))</f>
        <v/>
      </c>
      <c r="M887" s="127" t="str">
        <f>IF(B887="","",IF(ISNA(MATCH(C887,ETF!$A$7:$A$21,0)),"ETF?",IF(NOT(ISNUMBER(A887)),"Data?",IF(AND(B887&lt;&gt;"Dividendo",N(D887)&lt;=0),"Quote?",IF(AND(B887="Vendita",N(D887)&gt;N(Q887)+0.000001),"Quote?",IF(J887&lt;=0,"Importo?","✓"))))))</f>
        <v/>
      </c>
      <c r="N887" t="str">
        <f>IF(OR(B887="Acquisto",B887="Vendita"),COUNTIFS($C$5:C887,C887,$B$5:B887,"Acquisto")+COUNTIFS($C$5:C887,C887,$B$5:B887,"Vendita"),"")</f>
        <v/>
      </c>
      <c r="O887" t="str">
        <f>IF(N887="","",C887&amp;"|"&amp;N887)</f>
        <v/>
      </c>
      <c r="P887" t="str">
        <f>IF(N887="","",IF(N887=1,0,MATCH(C887&amp;"|"&amp;(N887-1),$O$5:$O$1004,0)))</f>
        <v/>
      </c>
      <c r="Q887" t="str">
        <f>IF(N887="","",IF(P887=0,SUMIFS(Calcoli!$C$7:$C$21,Calcoli!$A$7:$A$21,C887),INDEX($S$5:$S$1004,P887)))</f>
        <v/>
      </c>
      <c r="R887" t="str">
        <f>IF(N887="","",IF(P887=0,SUMIFS(Calcoli!$D$7:$D$21,Calcoli!$A$7:$A$21,C887),INDEX($T$5:$T$1004,P887)))</f>
        <v/>
      </c>
      <c r="S887" t="str">
        <f>IF(N887="","",IF(B887="Acquisto",Q887+N(D887),MAX(0,Q887-N(D887))))</f>
        <v/>
      </c>
      <c r="T887" t="str">
        <f>IF(N887="","",IF(B887="Acquisto",R887+J887+N(G887),IF(Q887&lt;=0,0,R887*(1-MIN(1,N(D887)/Q887)))))</f>
        <v/>
      </c>
      <c r="U887" t="str">
        <f>IF(B887&lt;&gt;"Vendita","",J887-N(G887)-IF(Q887&lt;=0,0,R887*MIN(1,N(D887)/Q887)))</f>
        <v/>
      </c>
      <c r="V887" t="str">
        <f>IF(B887&lt;&gt;"Dividendo","",IF(Calcoli!$B$251=1,J887,L887))</f>
        <v/>
      </c>
      <c r="W887" t="str">
        <f>IF(AND(V887&lt;&gt;"",ISNUMBER(A887)),A887,"")</f>
        <v/>
      </c>
    </row>
    <row r="888">
      <c r="A888" s="134" t="n"/>
      <c r="B888" s="116" t="n"/>
      <c r="C888" s="116" t="n"/>
      <c r="D888" s="121" t="n"/>
      <c r="E888" s="120" t="n"/>
      <c r="F888" s="120" t="n"/>
      <c r="G888" s="120" t="n"/>
      <c r="H888" s="120" t="n"/>
      <c r="I888" s="117" t="n"/>
      <c r="J888" s="123" t="str">
        <f>IF(B888="","",IF(F888&lt;&gt;"",N(F888),ROUND(N(D888)*N(E888),2)))</f>
        <v/>
      </c>
      <c r="K888" s="123" t="str">
        <f>IF(B888="","",IF(H888&lt;&gt;"",N(H888),IF(B888="Dividendo",ROUND(J888*IFERROR(INDEX(Calcoli!$V$7:$V$21,MATCH(C888,Calcoli!$A$7:$A$21,0)),0.26),2),IF(B888="Vendita",ROUND(MAX(0,U888)*IFERROR(INDEX(Calcoli!$V$7:$V$21,MATCH(C888,Calcoli!$A$7:$A$21,0)),0.26),2),0))))</f>
        <v/>
      </c>
      <c r="L888" s="135" t="str">
        <f>IF(B888="","",IF(B888="Acquisto",-(J888+N(G888)),J888-N(G888)-K888))</f>
        <v/>
      </c>
      <c r="M888" s="127" t="str">
        <f>IF(B888="","",IF(ISNA(MATCH(C888,ETF!$A$7:$A$21,0)),"ETF?",IF(NOT(ISNUMBER(A888)),"Data?",IF(AND(B888&lt;&gt;"Dividendo",N(D888)&lt;=0),"Quote?",IF(AND(B888="Vendita",N(D888)&gt;N(Q888)+0.000001),"Quote?",IF(J888&lt;=0,"Importo?","✓"))))))</f>
        <v/>
      </c>
      <c r="N888" t="str">
        <f>IF(OR(B888="Acquisto",B888="Vendita"),COUNTIFS($C$5:C888,C888,$B$5:B888,"Acquisto")+COUNTIFS($C$5:C888,C888,$B$5:B888,"Vendita"),"")</f>
        <v/>
      </c>
      <c r="O888" t="str">
        <f>IF(N888="","",C888&amp;"|"&amp;N888)</f>
        <v/>
      </c>
      <c r="P888" t="str">
        <f>IF(N888="","",IF(N888=1,0,MATCH(C888&amp;"|"&amp;(N888-1),$O$5:$O$1004,0)))</f>
        <v/>
      </c>
      <c r="Q888" t="str">
        <f>IF(N888="","",IF(P888=0,SUMIFS(Calcoli!$C$7:$C$21,Calcoli!$A$7:$A$21,C888),INDEX($S$5:$S$1004,P888)))</f>
        <v/>
      </c>
      <c r="R888" t="str">
        <f>IF(N888="","",IF(P888=0,SUMIFS(Calcoli!$D$7:$D$21,Calcoli!$A$7:$A$21,C888),INDEX($T$5:$T$1004,P888)))</f>
        <v/>
      </c>
      <c r="S888" t="str">
        <f>IF(N888="","",IF(B888="Acquisto",Q888+N(D888),MAX(0,Q888-N(D888))))</f>
        <v/>
      </c>
      <c r="T888" t="str">
        <f>IF(N888="","",IF(B888="Acquisto",R888+J888+N(G888),IF(Q888&lt;=0,0,R888*(1-MIN(1,N(D888)/Q888)))))</f>
        <v/>
      </c>
      <c r="U888" t="str">
        <f>IF(B888&lt;&gt;"Vendita","",J888-N(G888)-IF(Q888&lt;=0,0,R888*MIN(1,N(D888)/Q888)))</f>
        <v/>
      </c>
      <c r="V888" t="str">
        <f>IF(B888&lt;&gt;"Dividendo","",IF(Calcoli!$B$251=1,J888,L888))</f>
        <v/>
      </c>
      <c r="W888" t="str">
        <f>IF(AND(V888&lt;&gt;"",ISNUMBER(A888)),A888,"")</f>
        <v/>
      </c>
    </row>
    <row r="889">
      <c r="A889" s="134" t="n"/>
      <c r="B889" s="116" t="n"/>
      <c r="C889" s="116" t="n"/>
      <c r="D889" s="121" t="n"/>
      <c r="E889" s="120" t="n"/>
      <c r="F889" s="120" t="n"/>
      <c r="G889" s="120" t="n"/>
      <c r="H889" s="120" t="n"/>
      <c r="I889" s="117" t="n"/>
      <c r="J889" s="123" t="str">
        <f>IF(B889="","",IF(F889&lt;&gt;"",N(F889),ROUND(N(D889)*N(E889),2)))</f>
        <v/>
      </c>
      <c r="K889" s="123" t="str">
        <f>IF(B889="","",IF(H889&lt;&gt;"",N(H889),IF(B889="Dividendo",ROUND(J889*IFERROR(INDEX(Calcoli!$V$7:$V$21,MATCH(C889,Calcoli!$A$7:$A$21,0)),0.26),2),IF(B889="Vendita",ROUND(MAX(0,U889)*IFERROR(INDEX(Calcoli!$V$7:$V$21,MATCH(C889,Calcoli!$A$7:$A$21,0)),0.26),2),0))))</f>
        <v/>
      </c>
      <c r="L889" s="135" t="str">
        <f>IF(B889="","",IF(B889="Acquisto",-(J889+N(G889)),J889-N(G889)-K889))</f>
        <v/>
      </c>
      <c r="M889" s="127" t="str">
        <f>IF(B889="","",IF(ISNA(MATCH(C889,ETF!$A$7:$A$21,0)),"ETF?",IF(NOT(ISNUMBER(A889)),"Data?",IF(AND(B889&lt;&gt;"Dividendo",N(D889)&lt;=0),"Quote?",IF(AND(B889="Vendita",N(D889)&gt;N(Q889)+0.000001),"Quote?",IF(J889&lt;=0,"Importo?","✓"))))))</f>
        <v/>
      </c>
      <c r="N889" t="str">
        <f>IF(OR(B889="Acquisto",B889="Vendita"),COUNTIFS($C$5:C889,C889,$B$5:B889,"Acquisto")+COUNTIFS($C$5:C889,C889,$B$5:B889,"Vendita"),"")</f>
        <v/>
      </c>
      <c r="O889" t="str">
        <f>IF(N889="","",C889&amp;"|"&amp;N889)</f>
        <v/>
      </c>
      <c r="P889" t="str">
        <f>IF(N889="","",IF(N889=1,0,MATCH(C889&amp;"|"&amp;(N889-1),$O$5:$O$1004,0)))</f>
        <v/>
      </c>
      <c r="Q889" t="str">
        <f>IF(N889="","",IF(P889=0,SUMIFS(Calcoli!$C$7:$C$21,Calcoli!$A$7:$A$21,C889),INDEX($S$5:$S$1004,P889)))</f>
        <v/>
      </c>
      <c r="R889" t="str">
        <f>IF(N889="","",IF(P889=0,SUMIFS(Calcoli!$D$7:$D$21,Calcoli!$A$7:$A$21,C889),INDEX($T$5:$T$1004,P889)))</f>
        <v/>
      </c>
      <c r="S889" t="str">
        <f>IF(N889="","",IF(B889="Acquisto",Q889+N(D889),MAX(0,Q889-N(D889))))</f>
        <v/>
      </c>
      <c r="T889" t="str">
        <f>IF(N889="","",IF(B889="Acquisto",R889+J889+N(G889),IF(Q889&lt;=0,0,R889*(1-MIN(1,N(D889)/Q889)))))</f>
        <v/>
      </c>
      <c r="U889" t="str">
        <f>IF(B889&lt;&gt;"Vendita","",J889-N(G889)-IF(Q889&lt;=0,0,R889*MIN(1,N(D889)/Q889)))</f>
        <v/>
      </c>
      <c r="V889" t="str">
        <f>IF(B889&lt;&gt;"Dividendo","",IF(Calcoli!$B$251=1,J889,L889))</f>
        <v/>
      </c>
      <c r="W889" t="str">
        <f>IF(AND(V889&lt;&gt;"",ISNUMBER(A889)),A889,"")</f>
        <v/>
      </c>
    </row>
    <row r="890">
      <c r="A890" s="134" t="n"/>
      <c r="B890" s="116" t="n"/>
      <c r="C890" s="116" t="n"/>
      <c r="D890" s="121" t="n"/>
      <c r="E890" s="120" t="n"/>
      <c r="F890" s="120" t="n"/>
      <c r="G890" s="120" t="n"/>
      <c r="H890" s="120" t="n"/>
      <c r="I890" s="117" t="n"/>
      <c r="J890" s="123" t="str">
        <f>IF(B890="","",IF(F890&lt;&gt;"",N(F890),ROUND(N(D890)*N(E890),2)))</f>
        <v/>
      </c>
      <c r="K890" s="123" t="str">
        <f>IF(B890="","",IF(H890&lt;&gt;"",N(H890),IF(B890="Dividendo",ROUND(J890*IFERROR(INDEX(Calcoli!$V$7:$V$21,MATCH(C890,Calcoli!$A$7:$A$21,0)),0.26),2),IF(B890="Vendita",ROUND(MAX(0,U890)*IFERROR(INDEX(Calcoli!$V$7:$V$21,MATCH(C890,Calcoli!$A$7:$A$21,0)),0.26),2),0))))</f>
        <v/>
      </c>
      <c r="L890" s="135" t="str">
        <f>IF(B890="","",IF(B890="Acquisto",-(J890+N(G890)),J890-N(G890)-K890))</f>
        <v/>
      </c>
      <c r="M890" s="127" t="str">
        <f>IF(B890="","",IF(ISNA(MATCH(C890,ETF!$A$7:$A$21,0)),"ETF?",IF(NOT(ISNUMBER(A890)),"Data?",IF(AND(B890&lt;&gt;"Dividendo",N(D890)&lt;=0),"Quote?",IF(AND(B890="Vendita",N(D890)&gt;N(Q890)+0.000001),"Quote?",IF(J890&lt;=0,"Importo?","✓"))))))</f>
        <v/>
      </c>
      <c r="N890" t="str">
        <f>IF(OR(B890="Acquisto",B890="Vendita"),COUNTIFS($C$5:C890,C890,$B$5:B890,"Acquisto")+COUNTIFS($C$5:C890,C890,$B$5:B890,"Vendita"),"")</f>
        <v/>
      </c>
      <c r="O890" t="str">
        <f>IF(N890="","",C890&amp;"|"&amp;N890)</f>
        <v/>
      </c>
      <c r="P890" t="str">
        <f>IF(N890="","",IF(N890=1,0,MATCH(C890&amp;"|"&amp;(N890-1),$O$5:$O$1004,0)))</f>
        <v/>
      </c>
      <c r="Q890" t="str">
        <f>IF(N890="","",IF(P890=0,SUMIFS(Calcoli!$C$7:$C$21,Calcoli!$A$7:$A$21,C890),INDEX($S$5:$S$1004,P890)))</f>
        <v/>
      </c>
      <c r="R890" t="str">
        <f>IF(N890="","",IF(P890=0,SUMIFS(Calcoli!$D$7:$D$21,Calcoli!$A$7:$A$21,C890),INDEX($T$5:$T$1004,P890)))</f>
        <v/>
      </c>
      <c r="S890" t="str">
        <f>IF(N890="","",IF(B890="Acquisto",Q890+N(D890),MAX(0,Q890-N(D890))))</f>
        <v/>
      </c>
      <c r="T890" t="str">
        <f>IF(N890="","",IF(B890="Acquisto",R890+J890+N(G890),IF(Q890&lt;=0,0,R890*(1-MIN(1,N(D890)/Q890)))))</f>
        <v/>
      </c>
      <c r="U890" t="str">
        <f>IF(B890&lt;&gt;"Vendita","",J890-N(G890)-IF(Q890&lt;=0,0,R890*MIN(1,N(D890)/Q890)))</f>
        <v/>
      </c>
      <c r="V890" t="str">
        <f>IF(B890&lt;&gt;"Dividendo","",IF(Calcoli!$B$251=1,J890,L890))</f>
        <v/>
      </c>
      <c r="W890" t="str">
        <f>IF(AND(V890&lt;&gt;"",ISNUMBER(A890)),A890,"")</f>
        <v/>
      </c>
    </row>
    <row r="891">
      <c r="A891" s="134" t="n"/>
      <c r="B891" s="116" t="n"/>
      <c r="C891" s="116" t="n"/>
      <c r="D891" s="121" t="n"/>
      <c r="E891" s="120" t="n"/>
      <c r="F891" s="120" t="n"/>
      <c r="G891" s="120" t="n"/>
      <c r="H891" s="120" t="n"/>
      <c r="I891" s="117" t="n"/>
      <c r="J891" s="123" t="str">
        <f>IF(B891="","",IF(F891&lt;&gt;"",N(F891),ROUND(N(D891)*N(E891),2)))</f>
        <v/>
      </c>
      <c r="K891" s="123" t="str">
        <f>IF(B891="","",IF(H891&lt;&gt;"",N(H891),IF(B891="Dividendo",ROUND(J891*IFERROR(INDEX(Calcoli!$V$7:$V$21,MATCH(C891,Calcoli!$A$7:$A$21,0)),0.26),2),IF(B891="Vendita",ROUND(MAX(0,U891)*IFERROR(INDEX(Calcoli!$V$7:$V$21,MATCH(C891,Calcoli!$A$7:$A$21,0)),0.26),2),0))))</f>
        <v/>
      </c>
      <c r="L891" s="135" t="str">
        <f>IF(B891="","",IF(B891="Acquisto",-(J891+N(G891)),J891-N(G891)-K891))</f>
        <v/>
      </c>
      <c r="M891" s="127" t="str">
        <f>IF(B891="","",IF(ISNA(MATCH(C891,ETF!$A$7:$A$21,0)),"ETF?",IF(NOT(ISNUMBER(A891)),"Data?",IF(AND(B891&lt;&gt;"Dividendo",N(D891)&lt;=0),"Quote?",IF(AND(B891="Vendita",N(D891)&gt;N(Q891)+0.000001),"Quote?",IF(J891&lt;=0,"Importo?","✓"))))))</f>
        <v/>
      </c>
      <c r="N891" t="str">
        <f>IF(OR(B891="Acquisto",B891="Vendita"),COUNTIFS($C$5:C891,C891,$B$5:B891,"Acquisto")+COUNTIFS($C$5:C891,C891,$B$5:B891,"Vendita"),"")</f>
        <v/>
      </c>
      <c r="O891" t="str">
        <f>IF(N891="","",C891&amp;"|"&amp;N891)</f>
        <v/>
      </c>
      <c r="P891" t="str">
        <f>IF(N891="","",IF(N891=1,0,MATCH(C891&amp;"|"&amp;(N891-1),$O$5:$O$1004,0)))</f>
        <v/>
      </c>
      <c r="Q891" t="str">
        <f>IF(N891="","",IF(P891=0,SUMIFS(Calcoli!$C$7:$C$21,Calcoli!$A$7:$A$21,C891),INDEX($S$5:$S$1004,P891)))</f>
        <v/>
      </c>
      <c r="R891" t="str">
        <f>IF(N891="","",IF(P891=0,SUMIFS(Calcoli!$D$7:$D$21,Calcoli!$A$7:$A$21,C891),INDEX($T$5:$T$1004,P891)))</f>
        <v/>
      </c>
      <c r="S891" t="str">
        <f>IF(N891="","",IF(B891="Acquisto",Q891+N(D891),MAX(0,Q891-N(D891))))</f>
        <v/>
      </c>
      <c r="T891" t="str">
        <f>IF(N891="","",IF(B891="Acquisto",R891+J891+N(G891),IF(Q891&lt;=0,0,R891*(1-MIN(1,N(D891)/Q891)))))</f>
        <v/>
      </c>
      <c r="U891" t="str">
        <f>IF(B891&lt;&gt;"Vendita","",J891-N(G891)-IF(Q891&lt;=0,0,R891*MIN(1,N(D891)/Q891)))</f>
        <v/>
      </c>
      <c r="V891" t="str">
        <f>IF(B891&lt;&gt;"Dividendo","",IF(Calcoli!$B$251=1,J891,L891))</f>
        <v/>
      </c>
      <c r="W891" t="str">
        <f>IF(AND(V891&lt;&gt;"",ISNUMBER(A891)),A891,"")</f>
        <v/>
      </c>
    </row>
    <row r="892">
      <c r="A892" s="134" t="n"/>
      <c r="B892" s="116" t="n"/>
      <c r="C892" s="116" t="n"/>
      <c r="D892" s="121" t="n"/>
      <c r="E892" s="120" t="n"/>
      <c r="F892" s="120" t="n"/>
      <c r="G892" s="120" t="n"/>
      <c r="H892" s="120" t="n"/>
      <c r="I892" s="117" t="n"/>
      <c r="J892" s="123" t="str">
        <f>IF(B892="","",IF(F892&lt;&gt;"",N(F892),ROUND(N(D892)*N(E892),2)))</f>
        <v/>
      </c>
      <c r="K892" s="123" t="str">
        <f>IF(B892="","",IF(H892&lt;&gt;"",N(H892),IF(B892="Dividendo",ROUND(J892*IFERROR(INDEX(Calcoli!$V$7:$V$21,MATCH(C892,Calcoli!$A$7:$A$21,0)),0.26),2),IF(B892="Vendita",ROUND(MAX(0,U892)*IFERROR(INDEX(Calcoli!$V$7:$V$21,MATCH(C892,Calcoli!$A$7:$A$21,0)),0.26),2),0))))</f>
        <v/>
      </c>
      <c r="L892" s="135" t="str">
        <f>IF(B892="","",IF(B892="Acquisto",-(J892+N(G892)),J892-N(G892)-K892))</f>
        <v/>
      </c>
      <c r="M892" s="127" t="str">
        <f>IF(B892="","",IF(ISNA(MATCH(C892,ETF!$A$7:$A$21,0)),"ETF?",IF(NOT(ISNUMBER(A892)),"Data?",IF(AND(B892&lt;&gt;"Dividendo",N(D892)&lt;=0),"Quote?",IF(AND(B892="Vendita",N(D892)&gt;N(Q892)+0.000001),"Quote?",IF(J892&lt;=0,"Importo?","✓"))))))</f>
        <v/>
      </c>
      <c r="N892" t="str">
        <f>IF(OR(B892="Acquisto",B892="Vendita"),COUNTIFS($C$5:C892,C892,$B$5:B892,"Acquisto")+COUNTIFS($C$5:C892,C892,$B$5:B892,"Vendita"),"")</f>
        <v/>
      </c>
      <c r="O892" t="str">
        <f>IF(N892="","",C892&amp;"|"&amp;N892)</f>
        <v/>
      </c>
      <c r="P892" t="str">
        <f>IF(N892="","",IF(N892=1,0,MATCH(C892&amp;"|"&amp;(N892-1),$O$5:$O$1004,0)))</f>
        <v/>
      </c>
      <c r="Q892" t="str">
        <f>IF(N892="","",IF(P892=0,SUMIFS(Calcoli!$C$7:$C$21,Calcoli!$A$7:$A$21,C892),INDEX($S$5:$S$1004,P892)))</f>
        <v/>
      </c>
      <c r="R892" t="str">
        <f>IF(N892="","",IF(P892=0,SUMIFS(Calcoli!$D$7:$D$21,Calcoli!$A$7:$A$21,C892),INDEX($T$5:$T$1004,P892)))</f>
        <v/>
      </c>
      <c r="S892" t="str">
        <f>IF(N892="","",IF(B892="Acquisto",Q892+N(D892),MAX(0,Q892-N(D892))))</f>
        <v/>
      </c>
      <c r="T892" t="str">
        <f>IF(N892="","",IF(B892="Acquisto",R892+J892+N(G892),IF(Q892&lt;=0,0,R892*(1-MIN(1,N(D892)/Q892)))))</f>
        <v/>
      </c>
      <c r="U892" t="str">
        <f>IF(B892&lt;&gt;"Vendita","",J892-N(G892)-IF(Q892&lt;=0,0,R892*MIN(1,N(D892)/Q892)))</f>
        <v/>
      </c>
      <c r="V892" t="str">
        <f>IF(B892&lt;&gt;"Dividendo","",IF(Calcoli!$B$251=1,J892,L892))</f>
        <v/>
      </c>
      <c r="W892" t="str">
        <f>IF(AND(V892&lt;&gt;"",ISNUMBER(A892)),A892,"")</f>
        <v/>
      </c>
    </row>
    <row r="893">
      <c r="A893" s="134" t="n"/>
      <c r="B893" s="116" t="n"/>
      <c r="C893" s="116" t="n"/>
      <c r="D893" s="121" t="n"/>
      <c r="E893" s="120" t="n"/>
      <c r="F893" s="120" t="n"/>
      <c r="G893" s="120" t="n"/>
      <c r="H893" s="120" t="n"/>
      <c r="I893" s="117" t="n"/>
      <c r="J893" s="123" t="str">
        <f>IF(B893="","",IF(F893&lt;&gt;"",N(F893),ROUND(N(D893)*N(E893),2)))</f>
        <v/>
      </c>
      <c r="K893" s="123" t="str">
        <f>IF(B893="","",IF(H893&lt;&gt;"",N(H893),IF(B893="Dividendo",ROUND(J893*IFERROR(INDEX(Calcoli!$V$7:$V$21,MATCH(C893,Calcoli!$A$7:$A$21,0)),0.26),2),IF(B893="Vendita",ROUND(MAX(0,U893)*IFERROR(INDEX(Calcoli!$V$7:$V$21,MATCH(C893,Calcoli!$A$7:$A$21,0)),0.26),2),0))))</f>
        <v/>
      </c>
      <c r="L893" s="135" t="str">
        <f>IF(B893="","",IF(B893="Acquisto",-(J893+N(G893)),J893-N(G893)-K893))</f>
        <v/>
      </c>
      <c r="M893" s="127" t="str">
        <f>IF(B893="","",IF(ISNA(MATCH(C893,ETF!$A$7:$A$21,0)),"ETF?",IF(NOT(ISNUMBER(A893)),"Data?",IF(AND(B893&lt;&gt;"Dividendo",N(D893)&lt;=0),"Quote?",IF(AND(B893="Vendita",N(D893)&gt;N(Q893)+0.000001),"Quote?",IF(J893&lt;=0,"Importo?","✓"))))))</f>
        <v/>
      </c>
      <c r="N893" t="str">
        <f>IF(OR(B893="Acquisto",B893="Vendita"),COUNTIFS($C$5:C893,C893,$B$5:B893,"Acquisto")+COUNTIFS($C$5:C893,C893,$B$5:B893,"Vendita"),"")</f>
        <v/>
      </c>
      <c r="O893" t="str">
        <f>IF(N893="","",C893&amp;"|"&amp;N893)</f>
        <v/>
      </c>
      <c r="P893" t="str">
        <f>IF(N893="","",IF(N893=1,0,MATCH(C893&amp;"|"&amp;(N893-1),$O$5:$O$1004,0)))</f>
        <v/>
      </c>
      <c r="Q893" t="str">
        <f>IF(N893="","",IF(P893=0,SUMIFS(Calcoli!$C$7:$C$21,Calcoli!$A$7:$A$21,C893),INDEX($S$5:$S$1004,P893)))</f>
        <v/>
      </c>
      <c r="R893" t="str">
        <f>IF(N893="","",IF(P893=0,SUMIFS(Calcoli!$D$7:$D$21,Calcoli!$A$7:$A$21,C893),INDEX($T$5:$T$1004,P893)))</f>
        <v/>
      </c>
      <c r="S893" t="str">
        <f>IF(N893="","",IF(B893="Acquisto",Q893+N(D893),MAX(0,Q893-N(D893))))</f>
        <v/>
      </c>
      <c r="T893" t="str">
        <f>IF(N893="","",IF(B893="Acquisto",R893+J893+N(G893),IF(Q893&lt;=0,0,R893*(1-MIN(1,N(D893)/Q893)))))</f>
        <v/>
      </c>
      <c r="U893" t="str">
        <f>IF(B893&lt;&gt;"Vendita","",J893-N(G893)-IF(Q893&lt;=0,0,R893*MIN(1,N(D893)/Q893)))</f>
        <v/>
      </c>
      <c r="V893" t="str">
        <f>IF(B893&lt;&gt;"Dividendo","",IF(Calcoli!$B$251=1,J893,L893))</f>
        <v/>
      </c>
      <c r="W893" t="str">
        <f>IF(AND(V893&lt;&gt;"",ISNUMBER(A893)),A893,"")</f>
        <v/>
      </c>
    </row>
    <row r="894">
      <c r="A894" s="134" t="n"/>
      <c r="B894" s="116" t="n"/>
      <c r="C894" s="116" t="n"/>
      <c r="D894" s="121" t="n"/>
      <c r="E894" s="120" t="n"/>
      <c r="F894" s="120" t="n"/>
      <c r="G894" s="120" t="n"/>
      <c r="H894" s="120" t="n"/>
      <c r="I894" s="117" t="n"/>
      <c r="J894" s="123" t="str">
        <f>IF(B894="","",IF(F894&lt;&gt;"",N(F894),ROUND(N(D894)*N(E894),2)))</f>
        <v/>
      </c>
      <c r="K894" s="123" t="str">
        <f>IF(B894="","",IF(H894&lt;&gt;"",N(H894),IF(B894="Dividendo",ROUND(J894*IFERROR(INDEX(Calcoli!$V$7:$V$21,MATCH(C894,Calcoli!$A$7:$A$21,0)),0.26),2),IF(B894="Vendita",ROUND(MAX(0,U894)*IFERROR(INDEX(Calcoli!$V$7:$V$21,MATCH(C894,Calcoli!$A$7:$A$21,0)),0.26),2),0))))</f>
        <v/>
      </c>
      <c r="L894" s="135" t="str">
        <f>IF(B894="","",IF(B894="Acquisto",-(J894+N(G894)),J894-N(G894)-K894))</f>
        <v/>
      </c>
      <c r="M894" s="127" t="str">
        <f>IF(B894="","",IF(ISNA(MATCH(C894,ETF!$A$7:$A$21,0)),"ETF?",IF(NOT(ISNUMBER(A894)),"Data?",IF(AND(B894&lt;&gt;"Dividendo",N(D894)&lt;=0),"Quote?",IF(AND(B894="Vendita",N(D894)&gt;N(Q894)+0.000001),"Quote?",IF(J894&lt;=0,"Importo?","✓"))))))</f>
        <v/>
      </c>
      <c r="N894" t="str">
        <f>IF(OR(B894="Acquisto",B894="Vendita"),COUNTIFS($C$5:C894,C894,$B$5:B894,"Acquisto")+COUNTIFS($C$5:C894,C894,$B$5:B894,"Vendita"),"")</f>
        <v/>
      </c>
      <c r="O894" t="str">
        <f>IF(N894="","",C894&amp;"|"&amp;N894)</f>
        <v/>
      </c>
      <c r="P894" t="str">
        <f>IF(N894="","",IF(N894=1,0,MATCH(C894&amp;"|"&amp;(N894-1),$O$5:$O$1004,0)))</f>
        <v/>
      </c>
      <c r="Q894" t="str">
        <f>IF(N894="","",IF(P894=0,SUMIFS(Calcoli!$C$7:$C$21,Calcoli!$A$7:$A$21,C894),INDEX($S$5:$S$1004,P894)))</f>
        <v/>
      </c>
      <c r="R894" t="str">
        <f>IF(N894="","",IF(P894=0,SUMIFS(Calcoli!$D$7:$D$21,Calcoli!$A$7:$A$21,C894),INDEX($T$5:$T$1004,P894)))</f>
        <v/>
      </c>
      <c r="S894" t="str">
        <f>IF(N894="","",IF(B894="Acquisto",Q894+N(D894),MAX(0,Q894-N(D894))))</f>
        <v/>
      </c>
      <c r="T894" t="str">
        <f>IF(N894="","",IF(B894="Acquisto",R894+J894+N(G894),IF(Q894&lt;=0,0,R894*(1-MIN(1,N(D894)/Q894)))))</f>
        <v/>
      </c>
      <c r="U894" t="str">
        <f>IF(B894&lt;&gt;"Vendita","",J894-N(G894)-IF(Q894&lt;=0,0,R894*MIN(1,N(D894)/Q894)))</f>
        <v/>
      </c>
      <c r="V894" t="str">
        <f>IF(B894&lt;&gt;"Dividendo","",IF(Calcoli!$B$251=1,J894,L894))</f>
        <v/>
      </c>
      <c r="W894" t="str">
        <f>IF(AND(V894&lt;&gt;"",ISNUMBER(A894)),A894,"")</f>
        <v/>
      </c>
    </row>
    <row r="895">
      <c r="A895" s="134" t="n"/>
      <c r="B895" s="116" t="n"/>
      <c r="C895" s="116" t="n"/>
      <c r="D895" s="121" t="n"/>
      <c r="E895" s="120" t="n"/>
      <c r="F895" s="120" t="n"/>
      <c r="G895" s="120" t="n"/>
      <c r="H895" s="120" t="n"/>
      <c r="I895" s="117" t="n"/>
      <c r="J895" s="123" t="str">
        <f>IF(B895="","",IF(F895&lt;&gt;"",N(F895),ROUND(N(D895)*N(E895),2)))</f>
        <v/>
      </c>
      <c r="K895" s="123" t="str">
        <f>IF(B895="","",IF(H895&lt;&gt;"",N(H895),IF(B895="Dividendo",ROUND(J895*IFERROR(INDEX(Calcoli!$V$7:$V$21,MATCH(C895,Calcoli!$A$7:$A$21,0)),0.26),2),IF(B895="Vendita",ROUND(MAX(0,U895)*IFERROR(INDEX(Calcoli!$V$7:$V$21,MATCH(C895,Calcoli!$A$7:$A$21,0)),0.26),2),0))))</f>
        <v/>
      </c>
      <c r="L895" s="135" t="str">
        <f>IF(B895="","",IF(B895="Acquisto",-(J895+N(G895)),J895-N(G895)-K895))</f>
        <v/>
      </c>
      <c r="M895" s="127" t="str">
        <f>IF(B895="","",IF(ISNA(MATCH(C895,ETF!$A$7:$A$21,0)),"ETF?",IF(NOT(ISNUMBER(A895)),"Data?",IF(AND(B895&lt;&gt;"Dividendo",N(D895)&lt;=0),"Quote?",IF(AND(B895="Vendita",N(D895)&gt;N(Q895)+0.000001),"Quote?",IF(J895&lt;=0,"Importo?","✓"))))))</f>
        <v/>
      </c>
      <c r="N895" t="str">
        <f>IF(OR(B895="Acquisto",B895="Vendita"),COUNTIFS($C$5:C895,C895,$B$5:B895,"Acquisto")+COUNTIFS($C$5:C895,C895,$B$5:B895,"Vendita"),"")</f>
        <v/>
      </c>
      <c r="O895" t="str">
        <f>IF(N895="","",C895&amp;"|"&amp;N895)</f>
        <v/>
      </c>
      <c r="P895" t="str">
        <f>IF(N895="","",IF(N895=1,0,MATCH(C895&amp;"|"&amp;(N895-1),$O$5:$O$1004,0)))</f>
        <v/>
      </c>
      <c r="Q895" t="str">
        <f>IF(N895="","",IF(P895=0,SUMIFS(Calcoli!$C$7:$C$21,Calcoli!$A$7:$A$21,C895),INDEX($S$5:$S$1004,P895)))</f>
        <v/>
      </c>
      <c r="R895" t="str">
        <f>IF(N895="","",IF(P895=0,SUMIFS(Calcoli!$D$7:$D$21,Calcoli!$A$7:$A$21,C895),INDEX($T$5:$T$1004,P895)))</f>
        <v/>
      </c>
      <c r="S895" t="str">
        <f>IF(N895="","",IF(B895="Acquisto",Q895+N(D895),MAX(0,Q895-N(D895))))</f>
        <v/>
      </c>
      <c r="T895" t="str">
        <f>IF(N895="","",IF(B895="Acquisto",R895+J895+N(G895),IF(Q895&lt;=0,0,R895*(1-MIN(1,N(D895)/Q895)))))</f>
        <v/>
      </c>
      <c r="U895" t="str">
        <f>IF(B895&lt;&gt;"Vendita","",J895-N(G895)-IF(Q895&lt;=0,0,R895*MIN(1,N(D895)/Q895)))</f>
        <v/>
      </c>
      <c r="V895" t="str">
        <f>IF(B895&lt;&gt;"Dividendo","",IF(Calcoli!$B$251=1,J895,L895))</f>
        <v/>
      </c>
      <c r="W895" t="str">
        <f>IF(AND(V895&lt;&gt;"",ISNUMBER(A895)),A895,"")</f>
        <v/>
      </c>
    </row>
    <row r="896">
      <c r="A896" s="134" t="n"/>
      <c r="B896" s="116" t="n"/>
      <c r="C896" s="116" t="n"/>
      <c r="D896" s="121" t="n"/>
      <c r="E896" s="120" t="n"/>
      <c r="F896" s="120" t="n"/>
      <c r="G896" s="120" t="n"/>
      <c r="H896" s="120" t="n"/>
      <c r="I896" s="117" t="n"/>
      <c r="J896" s="123" t="str">
        <f>IF(B896="","",IF(F896&lt;&gt;"",N(F896),ROUND(N(D896)*N(E896),2)))</f>
        <v/>
      </c>
      <c r="K896" s="123" t="str">
        <f>IF(B896="","",IF(H896&lt;&gt;"",N(H896),IF(B896="Dividendo",ROUND(J896*IFERROR(INDEX(Calcoli!$V$7:$V$21,MATCH(C896,Calcoli!$A$7:$A$21,0)),0.26),2),IF(B896="Vendita",ROUND(MAX(0,U896)*IFERROR(INDEX(Calcoli!$V$7:$V$21,MATCH(C896,Calcoli!$A$7:$A$21,0)),0.26),2),0))))</f>
        <v/>
      </c>
      <c r="L896" s="135" t="str">
        <f>IF(B896="","",IF(B896="Acquisto",-(J896+N(G896)),J896-N(G896)-K896))</f>
        <v/>
      </c>
      <c r="M896" s="127" t="str">
        <f>IF(B896="","",IF(ISNA(MATCH(C896,ETF!$A$7:$A$21,0)),"ETF?",IF(NOT(ISNUMBER(A896)),"Data?",IF(AND(B896&lt;&gt;"Dividendo",N(D896)&lt;=0),"Quote?",IF(AND(B896="Vendita",N(D896)&gt;N(Q896)+0.000001),"Quote?",IF(J896&lt;=0,"Importo?","✓"))))))</f>
        <v/>
      </c>
      <c r="N896" t="str">
        <f>IF(OR(B896="Acquisto",B896="Vendita"),COUNTIFS($C$5:C896,C896,$B$5:B896,"Acquisto")+COUNTIFS($C$5:C896,C896,$B$5:B896,"Vendita"),"")</f>
        <v/>
      </c>
      <c r="O896" t="str">
        <f>IF(N896="","",C896&amp;"|"&amp;N896)</f>
        <v/>
      </c>
      <c r="P896" t="str">
        <f>IF(N896="","",IF(N896=1,0,MATCH(C896&amp;"|"&amp;(N896-1),$O$5:$O$1004,0)))</f>
        <v/>
      </c>
      <c r="Q896" t="str">
        <f>IF(N896="","",IF(P896=0,SUMIFS(Calcoli!$C$7:$C$21,Calcoli!$A$7:$A$21,C896),INDEX($S$5:$S$1004,P896)))</f>
        <v/>
      </c>
      <c r="R896" t="str">
        <f>IF(N896="","",IF(P896=0,SUMIFS(Calcoli!$D$7:$D$21,Calcoli!$A$7:$A$21,C896),INDEX($T$5:$T$1004,P896)))</f>
        <v/>
      </c>
      <c r="S896" t="str">
        <f>IF(N896="","",IF(B896="Acquisto",Q896+N(D896),MAX(0,Q896-N(D896))))</f>
        <v/>
      </c>
      <c r="T896" t="str">
        <f>IF(N896="","",IF(B896="Acquisto",R896+J896+N(G896),IF(Q896&lt;=0,0,R896*(1-MIN(1,N(D896)/Q896)))))</f>
        <v/>
      </c>
      <c r="U896" t="str">
        <f>IF(B896&lt;&gt;"Vendita","",J896-N(G896)-IF(Q896&lt;=0,0,R896*MIN(1,N(D896)/Q896)))</f>
        <v/>
      </c>
      <c r="V896" t="str">
        <f>IF(B896&lt;&gt;"Dividendo","",IF(Calcoli!$B$251=1,J896,L896))</f>
        <v/>
      </c>
      <c r="W896" t="str">
        <f>IF(AND(V896&lt;&gt;"",ISNUMBER(A896)),A896,"")</f>
        <v/>
      </c>
    </row>
    <row r="897">
      <c r="A897" s="134" t="n"/>
      <c r="B897" s="116" t="n"/>
      <c r="C897" s="116" t="n"/>
      <c r="D897" s="121" t="n"/>
      <c r="E897" s="120" t="n"/>
      <c r="F897" s="120" t="n"/>
      <c r="G897" s="120" t="n"/>
      <c r="H897" s="120" t="n"/>
      <c r="I897" s="117" t="n"/>
      <c r="J897" s="123" t="str">
        <f>IF(B897="","",IF(F897&lt;&gt;"",N(F897),ROUND(N(D897)*N(E897),2)))</f>
        <v/>
      </c>
      <c r="K897" s="123" t="str">
        <f>IF(B897="","",IF(H897&lt;&gt;"",N(H897),IF(B897="Dividendo",ROUND(J897*IFERROR(INDEX(Calcoli!$V$7:$V$21,MATCH(C897,Calcoli!$A$7:$A$21,0)),0.26),2),IF(B897="Vendita",ROUND(MAX(0,U897)*IFERROR(INDEX(Calcoli!$V$7:$V$21,MATCH(C897,Calcoli!$A$7:$A$21,0)),0.26),2),0))))</f>
        <v/>
      </c>
      <c r="L897" s="135" t="str">
        <f>IF(B897="","",IF(B897="Acquisto",-(J897+N(G897)),J897-N(G897)-K897))</f>
        <v/>
      </c>
      <c r="M897" s="127" t="str">
        <f>IF(B897="","",IF(ISNA(MATCH(C897,ETF!$A$7:$A$21,0)),"ETF?",IF(NOT(ISNUMBER(A897)),"Data?",IF(AND(B897&lt;&gt;"Dividendo",N(D897)&lt;=0),"Quote?",IF(AND(B897="Vendita",N(D897)&gt;N(Q897)+0.000001),"Quote?",IF(J897&lt;=0,"Importo?","✓"))))))</f>
        <v/>
      </c>
      <c r="N897" t="str">
        <f>IF(OR(B897="Acquisto",B897="Vendita"),COUNTIFS($C$5:C897,C897,$B$5:B897,"Acquisto")+COUNTIFS($C$5:C897,C897,$B$5:B897,"Vendita"),"")</f>
        <v/>
      </c>
      <c r="O897" t="str">
        <f>IF(N897="","",C897&amp;"|"&amp;N897)</f>
        <v/>
      </c>
      <c r="P897" t="str">
        <f>IF(N897="","",IF(N897=1,0,MATCH(C897&amp;"|"&amp;(N897-1),$O$5:$O$1004,0)))</f>
        <v/>
      </c>
      <c r="Q897" t="str">
        <f>IF(N897="","",IF(P897=0,SUMIFS(Calcoli!$C$7:$C$21,Calcoli!$A$7:$A$21,C897),INDEX($S$5:$S$1004,P897)))</f>
        <v/>
      </c>
      <c r="R897" t="str">
        <f>IF(N897="","",IF(P897=0,SUMIFS(Calcoli!$D$7:$D$21,Calcoli!$A$7:$A$21,C897),INDEX($T$5:$T$1004,P897)))</f>
        <v/>
      </c>
      <c r="S897" t="str">
        <f>IF(N897="","",IF(B897="Acquisto",Q897+N(D897),MAX(0,Q897-N(D897))))</f>
        <v/>
      </c>
      <c r="T897" t="str">
        <f>IF(N897="","",IF(B897="Acquisto",R897+J897+N(G897),IF(Q897&lt;=0,0,R897*(1-MIN(1,N(D897)/Q897)))))</f>
        <v/>
      </c>
      <c r="U897" t="str">
        <f>IF(B897&lt;&gt;"Vendita","",J897-N(G897)-IF(Q897&lt;=0,0,R897*MIN(1,N(D897)/Q897)))</f>
        <v/>
      </c>
      <c r="V897" t="str">
        <f>IF(B897&lt;&gt;"Dividendo","",IF(Calcoli!$B$251=1,J897,L897))</f>
        <v/>
      </c>
      <c r="W897" t="str">
        <f>IF(AND(V897&lt;&gt;"",ISNUMBER(A897)),A897,"")</f>
        <v/>
      </c>
    </row>
    <row r="898">
      <c r="A898" s="134" t="n"/>
      <c r="B898" s="116" t="n"/>
      <c r="C898" s="116" t="n"/>
      <c r="D898" s="121" t="n"/>
      <c r="E898" s="120" t="n"/>
      <c r="F898" s="120" t="n"/>
      <c r="G898" s="120" t="n"/>
      <c r="H898" s="120" t="n"/>
      <c r="I898" s="117" t="n"/>
      <c r="J898" s="123" t="str">
        <f>IF(B898="","",IF(F898&lt;&gt;"",N(F898),ROUND(N(D898)*N(E898),2)))</f>
        <v/>
      </c>
      <c r="K898" s="123" t="str">
        <f>IF(B898="","",IF(H898&lt;&gt;"",N(H898),IF(B898="Dividendo",ROUND(J898*IFERROR(INDEX(Calcoli!$V$7:$V$21,MATCH(C898,Calcoli!$A$7:$A$21,0)),0.26),2),IF(B898="Vendita",ROUND(MAX(0,U898)*IFERROR(INDEX(Calcoli!$V$7:$V$21,MATCH(C898,Calcoli!$A$7:$A$21,0)),0.26),2),0))))</f>
        <v/>
      </c>
      <c r="L898" s="135" t="str">
        <f>IF(B898="","",IF(B898="Acquisto",-(J898+N(G898)),J898-N(G898)-K898))</f>
        <v/>
      </c>
      <c r="M898" s="127" t="str">
        <f>IF(B898="","",IF(ISNA(MATCH(C898,ETF!$A$7:$A$21,0)),"ETF?",IF(NOT(ISNUMBER(A898)),"Data?",IF(AND(B898&lt;&gt;"Dividendo",N(D898)&lt;=0),"Quote?",IF(AND(B898="Vendita",N(D898)&gt;N(Q898)+0.000001),"Quote?",IF(J898&lt;=0,"Importo?","✓"))))))</f>
        <v/>
      </c>
      <c r="N898" t="str">
        <f>IF(OR(B898="Acquisto",B898="Vendita"),COUNTIFS($C$5:C898,C898,$B$5:B898,"Acquisto")+COUNTIFS($C$5:C898,C898,$B$5:B898,"Vendita"),"")</f>
        <v/>
      </c>
      <c r="O898" t="str">
        <f>IF(N898="","",C898&amp;"|"&amp;N898)</f>
        <v/>
      </c>
      <c r="P898" t="str">
        <f>IF(N898="","",IF(N898=1,0,MATCH(C898&amp;"|"&amp;(N898-1),$O$5:$O$1004,0)))</f>
        <v/>
      </c>
      <c r="Q898" t="str">
        <f>IF(N898="","",IF(P898=0,SUMIFS(Calcoli!$C$7:$C$21,Calcoli!$A$7:$A$21,C898),INDEX($S$5:$S$1004,P898)))</f>
        <v/>
      </c>
      <c r="R898" t="str">
        <f>IF(N898="","",IF(P898=0,SUMIFS(Calcoli!$D$7:$D$21,Calcoli!$A$7:$A$21,C898),INDEX($T$5:$T$1004,P898)))</f>
        <v/>
      </c>
      <c r="S898" t="str">
        <f>IF(N898="","",IF(B898="Acquisto",Q898+N(D898),MAX(0,Q898-N(D898))))</f>
        <v/>
      </c>
      <c r="T898" t="str">
        <f>IF(N898="","",IF(B898="Acquisto",R898+J898+N(G898),IF(Q898&lt;=0,0,R898*(1-MIN(1,N(D898)/Q898)))))</f>
        <v/>
      </c>
      <c r="U898" t="str">
        <f>IF(B898&lt;&gt;"Vendita","",J898-N(G898)-IF(Q898&lt;=0,0,R898*MIN(1,N(D898)/Q898)))</f>
        <v/>
      </c>
      <c r="V898" t="str">
        <f>IF(B898&lt;&gt;"Dividendo","",IF(Calcoli!$B$251=1,J898,L898))</f>
        <v/>
      </c>
      <c r="W898" t="str">
        <f>IF(AND(V898&lt;&gt;"",ISNUMBER(A898)),A898,"")</f>
        <v/>
      </c>
    </row>
    <row r="899">
      <c r="A899" s="134" t="n"/>
      <c r="B899" s="116" t="n"/>
      <c r="C899" s="116" t="n"/>
      <c r="D899" s="121" t="n"/>
      <c r="E899" s="120" t="n"/>
      <c r="F899" s="120" t="n"/>
      <c r="G899" s="120" t="n"/>
      <c r="H899" s="120" t="n"/>
      <c r="I899" s="117" t="n"/>
      <c r="J899" s="123" t="str">
        <f>IF(B899="","",IF(F899&lt;&gt;"",N(F899),ROUND(N(D899)*N(E899),2)))</f>
        <v/>
      </c>
      <c r="K899" s="123" t="str">
        <f>IF(B899="","",IF(H899&lt;&gt;"",N(H899),IF(B899="Dividendo",ROUND(J899*IFERROR(INDEX(Calcoli!$V$7:$V$21,MATCH(C899,Calcoli!$A$7:$A$21,0)),0.26),2),IF(B899="Vendita",ROUND(MAX(0,U899)*IFERROR(INDEX(Calcoli!$V$7:$V$21,MATCH(C899,Calcoli!$A$7:$A$21,0)),0.26),2),0))))</f>
        <v/>
      </c>
      <c r="L899" s="135" t="str">
        <f>IF(B899="","",IF(B899="Acquisto",-(J899+N(G899)),J899-N(G899)-K899))</f>
        <v/>
      </c>
      <c r="M899" s="127" t="str">
        <f>IF(B899="","",IF(ISNA(MATCH(C899,ETF!$A$7:$A$21,0)),"ETF?",IF(NOT(ISNUMBER(A899)),"Data?",IF(AND(B899&lt;&gt;"Dividendo",N(D899)&lt;=0),"Quote?",IF(AND(B899="Vendita",N(D899)&gt;N(Q899)+0.000001),"Quote?",IF(J899&lt;=0,"Importo?","✓"))))))</f>
        <v/>
      </c>
      <c r="N899" t="str">
        <f>IF(OR(B899="Acquisto",B899="Vendita"),COUNTIFS($C$5:C899,C899,$B$5:B899,"Acquisto")+COUNTIFS($C$5:C899,C899,$B$5:B899,"Vendita"),"")</f>
        <v/>
      </c>
      <c r="O899" t="str">
        <f>IF(N899="","",C899&amp;"|"&amp;N899)</f>
        <v/>
      </c>
      <c r="P899" t="str">
        <f>IF(N899="","",IF(N899=1,0,MATCH(C899&amp;"|"&amp;(N899-1),$O$5:$O$1004,0)))</f>
        <v/>
      </c>
      <c r="Q899" t="str">
        <f>IF(N899="","",IF(P899=0,SUMIFS(Calcoli!$C$7:$C$21,Calcoli!$A$7:$A$21,C899),INDEX($S$5:$S$1004,P899)))</f>
        <v/>
      </c>
      <c r="R899" t="str">
        <f>IF(N899="","",IF(P899=0,SUMIFS(Calcoli!$D$7:$D$21,Calcoli!$A$7:$A$21,C899),INDEX($T$5:$T$1004,P899)))</f>
        <v/>
      </c>
      <c r="S899" t="str">
        <f>IF(N899="","",IF(B899="Acquisto",Q899+N(D899),MAX(0,Q899-N(D899))))</f>
        <v/>
      </c>
      <c r="T899" t="str">
        <f>IF(N899="","",IF(B899="Acquisto",R899+J899+N(G899),IF(Q899&lt;=0,0,R899*(1-MIN(1,N(D899)/Q899)))))</f>
        <v/>
      </c>
      <c r="U899" t="str">
        <f>IF(B899&lt;&gt;"Vendita","",J899-N(G899)-IF(Q899&lt;=0,0,R899*MIN(1,N(D899)/Q899)))</f>
        <v/>
      </c>
      <c r="V899" t="str">
        <f>IF(B899&lt;&gt;"Dividendo","",IF(Calcoli!$B$251=1,J899,L899))</f>
        <v/>
      </c>
      <c r="W899" t="str">
        <f>IF(AND(V899&lt;&gt;"",ISNUMBER(A899)),A899,"")</f>
        <v/>
      </c>
    </row>
    <row r="900">
      <c r="A900" s="134" t="n"/>
      <c r="B900" s="116" t="n"/>
      <c r="C900" s="116" t="n"/>
      <c r="D900" s="121" t="n"/>
      <c r="E900" s="120" t="n"/>
      <c r="F900" s="120" t="n"/>
      <c r="G900" s="120" t="n"/>
      <c r="H900" s="120" t="n"/>
      <c r="I900" s="117" t="n"/>
      <c r="J900" s="123" t="str">
        <f>IF(B900="","",IF(F900&lt;&gt;"",N(F900),ROUND(N(D900)*N(E900),2)))</f>
        <v/>
      </c>
      <c r="K900" s="123" t="str">
        <f>IF(B900="","",IF(H900&lt;&gt;"",N(H900),IF(B900="Dividendo",ROUND(J900*IFERROR(INDEX(Calcoli!$V$7:$V$21,MATCH(C900,Calcoli!$A$7:$A$21,0)),0.26),2),IF(B900="Vendita",ROUND(MAX(0,U900)*IFERROR(INDEX(Calcoli!$V$7:$V$21,MATCH(C900,Calcoli!$A$7:$A$21,0)),0.26),2),0))))</f>
        <v/>
      </c>
      <c r="L900" s="135" t="str">
        <f>IF(B900="","",IF(B900="Acquisto",-(J900+N(G900)),J900-N(G900)-K900))</f>
        <v/>
      </c>
      <c r="M900" s="127" t="str">
        <f>IF(B900="","",IF(ISNA(MATCH(C900,ETF!$A$7:$A$21,0)),"ETF?",IF(NOT(ISNUMBER(A900)),"Data?",IF(AND(B900&lt;&gt;"Dividendo",N(D900)&lt;=0),"Quote?",IF(AND(B900="Vendita",N(D900)&gt;N(Q900)+0.000001),"Quote?",IF(J900&lt;=0,"Importo?","✓"))))))</f>
        <v/>
      </c>
      <c r="N900" t="str">
        <f>IF(OR(B900="Acquisto",B900="Vendita"),COUNTIFS($C$5:C900,C900,$B$5:B900,"Acquisto")+COUNTIFS($C$5:C900,C900,$B$5:B900,"Vendita"),"")</f>
        <v/>
      </c>
      <c r="O900" t="str">
        <f>IF(N900="","",C900&amp;"|"&amp;N900)</f>
        <v/>
      </c>
      <c r="P900" t="str">
        <f>IF(N900="","",IF(N900=1,0,MATCH(C900&amp;"|"&amp;(N900-1),$O$5:$O$1004,0)))</f>
        <v/>
      </c>
      <c r="Q900" t="str">
        <f>IF(N900="","",IF(P900=0,SUMIFS(Calcoli!$C$7:$C$21,Calcoli!$A$7:$A$21,C900),INDEX($S$5:$S$1004,P900)))</f>
        <v/>
      </c>
      <c r="R900" t="str">
        <f>IF(N900="","",IF(P900=0,SUMIFS(Calcoli!$D$7:$D$21,Calcoli!$A$7:$A$21,C900),INDEX($T$5:$T$1004,P900)))</f>
        <v/>
      </c>
      <c r="S900" t="str">
        <f>IF(N900="","",IF(B900="Acquisto",Q900+N(D900),MAX(0,Q900-N(D900))))</f>
        <v/>
      </c>
      <c r="T900" t="str">
        <f>IF(N900="","",IF(B900="Acquisto",R900+J900+N(G900),IF(Q900&lt;=0,0,R900*(1-MIN(1,N(D900)/Q900)))))</f>
        <v/>
      </c>
      <c r="U900" t="str">
        <f>IF(B900&lt;&gt;"Vendita","",J900-N(G900)-IF(Q900&lt;=0,0,R900*MIN(1,N(D900)/Q900)))</f>
        <v/>
      </c>
      <c r="V900" t="str">
        <f>IF(B900&lt;&gt;"Dividendo","",IF(Calcoli!$B$251=1,J900,L900))</f>
        <v/>
      </c>
      <c r="W900" t="str">
        <f>IF(AND(V900&lt;&gt;"",ISNUMBER(A900)),A900,"")</f>
        <v/>
      </c>
    </row>
    <row r="901">
      <c r="A901" s="134" t="n"/>
      <c r="B901" s="116" t="n"/>
      <c r="C901" s="116" t="n"/>
      <c r="D901" s="121" t="n"/>
      <c r="E901" s="120" t="n"/>
      <c r="F901" s="120" t="n"/>
      <c r="G901" s="120" t="n"/>
      <c r="H901" s="120" t="n"/>
      <c r="I901" s="117" t="n"/>
      <c r="J901" s="123" t="str">
        <f>IF(B901="","",IF(F901&lt;&gt;"",N(F901),ROUND(N(D901)*N(E901),2)))</f>
        <v/>
      </c>
      <c r="K901" s="123" t="str">
        <f>IF(B901="","",IF(H901&lt;&gt;"",N(H901),IF(B901="Dividendo",ROUND(J901*IFERROR(INDEX(Calcoli!$V$7:$V$21,MATCH(C901,Calcoli!$A$7:$A$21,0)),0.26),2),IF(B901="Vendita",ROUND(MAX(0,U901)*IFERROR(INDEX(Calcoli!$V$7:$V$21,MATCH(C901,Calcoli!$A$7:$A$21,0)),0.26),2),0))))</f>
        <v/>
      </c>
      <c r="L901" s="135" t="str">
        <f>IF(B901="","",IF(B901="Acquisto",-(J901+N(G901)),J901-N(G901)-K901))</f>
        <v/>
      </c>
      <c r="M901" s="127" t="str">
        <f>IF(B901="","",IF(ISNA(MATCH(C901,ETF!$A$7:$A$21,0)),"ETF?",IF(NOT(ISNUMBER(A901)),"Data?",IF(AND(B901&lt;&gt;"Dividendo",N(D901)&lt;=0),"Quote?",IF(AND(B901="Vendita",N(D901)&gt;N(Q901)+0.000001),"Quote?",IF(J901&lt;=0,"Importo?","✓"))))))</f>
        <v/>
      </c>
      <c r="N901" t="str">
        <f>IF(OR(B901="Acquisto",B901="Vendita"),COUNTIFS($C$5:C901,C901,$B$5:B901,"Acquisto")+COUNTIFS($C$5:C901,C901,$B$5:B901,"Vendita"),"")</f>
        <v/>
      </c>
      <c r="O901" t="str">
        <f>IF(N901="","",C901&amp;"|"&amp;N901)</f>
        <v/>
      </c>
      <c r="P901" t="str">
        <f>IF(N901="","",IF(N901=1,0,MATCH(C901&amp;"|"&amp;(N901-1),$O$5:$O$1004,0)))</f>
        <v/>
      </c>
      <c r="Q901" t="str">
        <f>IF(N901="","",IF(P901=0,SUMIFS(Calcoli!$C$7:$C$21,Calcoli!$A$7:$A$21,C901),INDEX($S$5:$S$1004,P901)))</f>
        <v/>
      </c>
      <c r="R901" t="str">
        <f>IF(N901="","",IF(P901=0,SUMIFS(Calcoli!$D$7:$D$21,Calcoli!$A$7:$A$21,C901),INDEX($T$5:$T$1004,P901)))</f>
        <v/>
      </c>
      <c r="S901" t="str">
        <f>IF(N901="","",IF(B901="Acquisto",Q901+N(D901),MAX(0,Q901-N(D901))))</f>
        <v/>
      </c>
      <c r="T901" t="str">
        <f>IF(N901="","",IF(B901="Acquisto",R901+J901+N(G901),IF(Q901&lt;=0,0,R901*(1-MIN(1,N(D901)/Q901)))))</f>
        <v/>
      </c>
      <c r="U901" t="str">
        <f>IF(B901&lt;&gt;"Vendita","",J901-N(G901)-IF(Q901&lt;=0,0,R901*MIN(1,N(D901)/Q901)))</f>
        <v/>
      </c>
      <c r="V901" t="str">
        <f>IF(B901&lt;&gt;"Dividendo","",IF(Calcoli!$B$251=1,J901,L901))</f>
        <v/>
      </c>
      <c r="W901" t="str">
        <f>IF(AND(V901&lt;&gt;"",ISNUMBER(A901)),A901,"")</f>
        <v/>
      </c>
    </row>
    <row r="902">
      <c r="A902" s="134" t="n"/>
      <c r="B902" s="116" t="n"/>
      <c r="C902" s="116" t="n"/>
      <c r="D902" s="121" t="n"/>
      <c r="E902" s="120" t="n"/>
      <c r="F902" s="120" t="n"/>
      <c r="G902" s="120" t="n"/>
      <c r="H902" s="120" t="n"/>
      <c r="I902" s="117" t="n"/>
      <c r="J902" s="123" t="str">
        <f>IF(B902="","",IF(F902&lt;&gt;"",N(F902),ROUND(N(D902)*N(E902),2)))</f>
        <v/>
      </c>
      <c r="K902" s="123" t="str">
        <f>IF(B902="","",IF(H902&lt;&gt;"",N(H902),IF(B902="Dividendo",ROUND(J902*IFERROR(INDEX(Calcoli!$V$7:$V$21,MATCH(C902,Calcoli!$A$7:$A$21,0)),0.26),2),IF(B902="Vendita",ROUND(MAX(0,U902)*IFERROR(INDEX(Calcoli!$V$7:$V$21,MATCH(C902,Calcoli!$A$7:$A$21,0)),0.26),2),0))))</f>
        <v/>
      </c>
      <c r="L902" s="135" t="str">
        <f>IF(B902="","",IF(B902="Acquisto",-(J902+N(G902)),J902-N(G902)-K902))</f>
        <v/>
      </c>
      <c r="M902" s="127" t="str">
        <f>IF(B902="","",IF(ISNA(MATCH(C902,ETF!$A$7:$A$21,0)),"ETF?",IF(NOT(ISNUMBER(A902)),"Data?",IF(AND(B902&lt;&gt;"Dividendo",N(D902)&lt;=0),"Quote?",IF(AND(B902="Vendita",N(D902)&gt;N(Q902)+0.000001),"Quote?",IF(J902&lt;=0,"Importo?","✓"))))))</f>
        <v/>
      </c>
      <c r="N902" t="str">
        <f>IF(OR(B902="Acquisto",B902="Vendita"),COUNTIFS($C$5:C902,C902,$B$5:B902,"Acquisto")+COUNTIFS($C$5:C902,C902,$B$5:B902,"Vendita"),"")</f>
        <v/>
      </c>
      <c r="O902" t="str">
        <f>IF(N902="","",C902&amp;"|"&amp;N902)</f>
        <v/>
      </c>
      <c r="P902" t="str">
        <f>IF(N902="","",IF(N902=1,0,MATCH(C902&amp;"|"&amp;(N902-1),$O$5:$O$1004,0)))</f>
        <v/>
      </c>
      <c r="Q902" t="str">
        <f>IF(N902="","",IF(P902=0,SUMIFS(Calcoli!$C$7:$C$21,Calcoli!$A$7:$A$21,C902),INDEX($S$5:$S$1004,P902)))</f>
        <v/>
      </c>
      <c r="R902" t="str">
        <f>IF(N902="","",IF(P902=0,SUMIFS(Calcoli!$D$7:$D$21,Calcoli!$A$7:$A$21,C902),INDEX($T$5:$T$1004,P902)))</f>
        <v/>
      </c>
      <c r="S902" t="str">
        <f>IF(N902="","",IF(B902="Acquisto",Q902+N(D902),MAX(0,Q902-N(D902))))</f>
        <v/>
      </c>
      <c r="T902" t="str">
        <f>IF(N902="","",IF(B902="Acquisto",R902+J902+N(G902),IF(Q902&lt;=0,0,R902*(1-MIN(1,N(D902)/Q902)))))</f>
        <v/>
      </c>
      <c r="U902" t="str">
        <f>IF(B902&lt;&gt;"Vendita","",J902-N(G902)-IF(Q902&lt;=0,0,R902*MIN(1,N(D902)/Q902)))</f>
        <v/>
      </c>
      <c r="V902" t="str">
        <f>IF(B902&lt;&gt;"Dividendo","",IF(Calcoli!$B$251=1,J902,L902))</f>
        <v/>
      </c>
      <c r="W902" t="str">
        <f>IF(AND(V902&lt;&gt;"",ISNUMBER(A902)),A902,"")</f>
        <v/>
      </c>
    </row>
    <row r="903">
      <c r="A903" s="134" t="n"/>
      <c r="B903" s="116" t="n"/>
      <c r="C903" s="116" t="n"/>
      <c r="D903" s="121" t="n"/>
      <c r="E903" s="120" t="n"/>
      <c r="F903" s="120" t="n"/>
      <c r="G903" s="120" t="n"/>
      <c r="H903" s="120" t="n"/>
      <c r="I903" s="117" t="n"/>
      <c r="J903" s="123" t="str">
        <f>IF(B903="","",IF(F903&lt;&gt;"",N(F903),ROUND(N(D903)*N(E903),2)))</f>
        <v/>
      </c>
      <c r="K903" s="123" t="str">
        <f>IF(B903="","",IF(H903&lt;&gt;"",N(H903),IF(B903="Dividendo",ROUND(J903*IFERROR(INDEX(Calcoli!$V$7:$V$21,MATCH(C903,Calcoli!$A$7:$A$21,0)),0.26),2),IF(B903="Vendita",ROUND(MAX(0,U903)*IFERROR(INDEX(Calcoli!$V$7:$V$21,MATCH(C903,Calcoli!$A$7:$A$21,0)),0.26),2),0))))</f>
        <v/>
      </c>
      <c r="L903" s="135" t="str">
        <f>IF(B903="","",IF(B903="Acquisto",-(J903+N(G903)),J903-N(G903)-K903))</f>
        <v/>
      </c>
      <c r="M903" s="127" t="str">
        <f>IF(B903="","",IF(ISNA(MATCH(C903,ETF!$A$7:$A$21,0)),"ETF?",IF(NOT(ISNUMBER(A903)),"Data?",IF(AND(B903&lt;&gt;"Dividendo",N(D903)&lt;=0),"Quote?",IF(AND(B903="Vendita",N(D903)&gt;N(Q903)+0.000001),"Quote?",IF(J903&lt;=0,"Importo?","✓"))))))</f>
        <v/>
      </c>
      <c r="N903" t="str">
        <f>IF(OR(B903="Acquisto",B903="Vendita"),COUNTIFS($C$5:C903,C903,$B$5:B903,"Acquisto")+COUNTIFS($C$5:C903,C903,$B$5:B903,"Vendita"),"")</f>
        <v/>
      </c>
      <c r="O903" t="str">
        <f>IF(N903="","",C903&amp;"|"&amp;N903)</f>
        <v/>
      </c>
      <c r="P903" t="str">
        <f>IF(N903="","",IF(N903=1,0,MATCH(C903&amp;"|"&amp;(N903-1),$O$5:$O$1004,0)))</f>
        <v/>
      </c>
      <c r="Q903" t="str">
        <f>IF(N903="","",IF(P903=0,SUMIFS(Calcoli!$C$7:$C$21,Calcoli!$A$7:$A$21,C903),INDEX($S$5:$S$1004,P903)))</f>
        <v/>
      </c>
      <c r="R903" t="str">
        <f>IF(N903="","",IF(P903=0,SUMIFS(Calcoli!$D$7:$D$21,Calcoli!$A$7:$A$21,C903),INDEX($T$5:$T$1004,P903)))</f>
        <v/>
      </c>
      <c r="S903" t="str">
        <f>IF(N903="","",IF(B903="Acquisto",Q903+N(D903),MAX(0,Q903-N(D903))))</f>
        <v/>
      </c>
      <c r="T903" t="str">
        <f>IF(N903="","",IF(B903="Acquisto",R903+J903+N(G903),IF(Q903&lt;=0,0,R903*(1-MIN(1,N(D903)/Q903)))))</f>
        <v/>
      </c>
      <c r="U903" t="str">
        <f>IF(B903&lt;&gt;"Vendita","",J903-N(G903)-IF(Q903&lt;=0,0,R903*MIN(1,N(D903)/Q903)))</f>
        <v/>
      </c>
      <c r="V903" t="str">
        <f>IF(B903&lt;&gt;"Dividendo","",IF(Calcoli!$B$251=1,J903,L903))</f>
        <v/>
      </c>
      <c r="W903" t="str">
        <f>IF(AND(V903&lt;&gt;"",ISNUMBER(A903)),A903,"")</f>
        <v/>
      </c>
    </row>
    <row r="904">
      <c r="A904" s="134" t="n"/>
      <c r="B904" s="116" t="n"/>
      <c r="C904" s="116" t="n"/>
      <c r="D904" s="121" t="n"/>
      <c r="E904" s="120" t="n"/>
      <c r="F904" s="120" t="n"/>
      <c r="G904" s="120" t="n"/>
      <c r="H904" s="120" t="n"/>
      <c r="I904" s="117" t="n"/>
      <c r="J904" s="123" t="str">
        <f>IF(B904="","",IF(F904&lt;&gt;"",N(F904),ROUND(N(D904)*N(E904),2)))</f>
        <v/>
      </c>
      <c r="K904" s="123" t="str">
        <f>IF(B904="","",IF(H904&lt;&gt;"",N(H904),IF(B904="Dividendo",ROUND(J904*IFERROR(INDEX(Calcoli!$V$7:$V$21,MATCH(C904,Calcoli!$A$7:$A$21,0)),0.26),2),IF(B904="Vendita",ROUND(MAX(0,U904)*IFERROR(INDEX(Calcoli!$V$7:$V$21,MATCH(C904,Calcoli!$A$7:$A$21,0)),0.26),2),0))))</f>
        <v/>
      </c>
      <c r="L904" s="135" t="str">
        <f>IF(B904="","",IF(B904="Acquisto",-(J904+N(G904)),J904-N(G904)-K904))</f>
        <v/>
      </c>
      <c r="M904" s="127" t="str">
        <f>IF(B904="","",IF(ISNA(MATCH(C904,ETF!$A$7:$A$21,0)),"ETF?",IF(NOT(ISNUMBER(A904)),"Data?",IF(AND(B904&lt;&gt;"Dividendo",N(D904)&lt;=0),"Quote?",IF(AND(B904="Vendita",N(D904)&gt;N(Q904)+0.000001),"Quote?",IF(J904&lt;=0,"Importo?","✓"))))))</f>
        <v/>
      </c>
      <c r="N904" t="str">
        <f>IF(OR(B904="Acquisto",B904="Vendita"),COUNTIFS($C$5:C904,C904,$B$5:B904,"Acquisto")+COUNTIFS($C$5:C904,C904,$B$5:B904,"Vendita"),"")</f>
        <v/>
      </c>
      <c r="O904" t="str">
        <f>IF(N904="","",C904&amp;"|"&amp;N904)</f>
        <v/>
      </c>
      <c r="P904" t="str">
        <f>IF(N904="","",IF(N904=1,0,MATCH(C904&amp;"|"&amp;(N904-1),$O$5:$O$1004,0)))</f>
        <v/>
      </c>
      <c r="Q904" t="str">
        <f>IF(N904="","",IF(P904=0,SUMIFS(Calcoli!$C$7:$C$21,Calcoli!$A$7:$A$21,C904),INDEX($S$5:$S$1004,P904)))</f>
        <v/>
      </c>
      <c r="R904" t="str">
        <f>IF(N904="","",IF(P904=0,SUMIFS(Calcoli!$D$7:$D$21,Calcoli!$A$7:$A$21,C904),INDEX($T$5:$T$1004,P904)))</f>
        <v/>
      </c>
      <c r="S904" t="str">
        <f>IF(N904="","",IF(B904="Acquisto",Q904+N(D904),MAX(0,Q904-N(D904))))</f>
        <v/>
      </c>
      <c r="T904" t="str">
        <f>IF(N904="","",IF(B904="Acquisto",R904+J904+N(G904),IF(Q904&lt;=0,0,R904*(1-MIN(1,N(D904)/Q904)))))</f>
        <v/>
      </c>
      <c r="U904" t="str">
        <f>IF(B904&lt;&gt;"Vendita","",J904-N(G904)-IF(Q904&lt;=0,0,R904*MIN(1,N(D904)/Q904)))</f>
        <v/>
      </c>
      <c r="V904" t="str">
        <f>IF(B904&lt;&gt;"Dividendo","",IF(Calcoli!$B$251=1,J904,L904))</f>
        <v/>
      </c>
      <c r="W904" t="str">
        <f>IF(AND(V904&lt;&gt;"",ISNUMBER(A904)),A904,"")</f>
        <v/>
      </c>
    </row>
    <row r="905">
      <c r="A905" s="134" t="n"/>
      <c r="B905" s="116" t="n"/>
      <c r="C905" s="116" t="n"/>
      <c r="D905" s="121" t="n"/>
      <c r="E905" s="120" t="n"/>
      <c r="F905" s="120" t="n"/>
      <c r="G905" s="120" t="n"/>
      <c r="H905" s="120" t="n"/>
      <c r="I905" s="117" t="n"/>
      <c r="J905" s="123" t="str">
        <f>IF(B905="","",IF(F905&lt;&gt;"",N(F905),ROUND(N(D905)*N(E905),2)))</f>
        <v/>
      </c>
      <c r="K905" s="123" t="str">
        <f>IF(B905="","",IF(H905&lt;&gt;"",N(H905),IF(B905="Dividendo",ROUND(J905*IFERROR(INDEX(Calcoli!$V$7:$V$21,MATCH(C905,Calcoli!$A$7:$A$21,0)),0.26),2),IF(B905="Vendita",ROUND(MAX(0,U905)*IFERROR(INDEX(Calcoli!$V$7:$V$21,MATCH(C905,Calcoli!$A$7:$A$21,0)),0.26),2),0))))</f>
        <v/>
      </c>
      <c r="L905" s="135" t="str">
        <f>IF(B905="","",IF(B905="Acquisto",-(J905+N(G905)),J905-N(G905)-K905))</f>
        <v/>
      </c>
      <c r="M905" s="127" t="str">
        <f>IF(B905="","",IF(ISNA(MATCH(C905,ETF!$A$7:$A$21,0)),"ETF?",IF(NOT(ISNUMBER(A905)),"Data?",IF(AND(B905&lt;&gt;"Dividendo",N(D905)&lt;=0),"Quote?",IF(AND(B905="Vendita",N(D905)&gt;N(Q905)+0.000001),"Quote?",IF(J905&lt;=0,"Importo?","✓"))))))</f>
        <v/>
      </c>
      <c r="N905" t="str">
        <f>IF(OR(B905="Acquisto",B905="Vendita"),COUNTIFS($C$5:C905,C905,$B$5:B905,"Acquisto")+COUNTIFS($C$5:C905,C905,$B$5:B905,"Vendita"),"")</f>
        <v/>
      </c>
      <c r="O905" t="str">
        <f>IF(N905="","",C905&amp;"|"&amp;N905)</f>
        <v/>
      </c>
      <c r="P905" t="str">
        <f>IF(N905="","",IF(N905=1,0,MATCH(C905&amp;"|"&amp;(N905-1),$O$5:$O$1004,0)))</f>
        <v/>
      </c>
      <c r="Q905" t="str">
        <f>IF(N905="","",IF(P905=0,SUMIFS(Calcoli!$C$7:$C$21,Calcoli!$A$7:$A$21,C905),INDEX($S$5:$S$1004,P905)))</f>
        <v/>
      </c>
      <c r="R905" t="str">
        <f>IF(N905="","",IF(P905=0,SUMIFS(Calcoli!$D$7:$D$21,Calcoli!$A$7:$A$21,C905),INDEX($T$5:$T$1004,P905)))</f>
        <v/>
      </c>
      <c r="S905" t="str">
        <f>IF(N905="","",IF(B905="Acquisto",Q905+N(D905),MAX(0,Q905-N(D905))))</f>
        <v/>
      </c>
      <c r="T905" t="str">
        <f>IF(N905="","",IF(B905="Acquisto",R905+J905+N(G905),IF(Q905&lt;=0,0,R905*(1-MIN(1,N(D905)/Q905)))))</f>
        <v/>
      </c>
      <c r="U905" t="str">
        <f>IF(B905&lt;&gt;"Vendita","",J905-N(G905)-IF(Q905&lt;=0,0,R905*MIN(1,N(D905)/Q905)))</f>
        <v/>
      </c>
      <c r="V905" t="str">
        <f>IF(B905&lt;&gt;"Dividendo","",IF(Calcoli!$B$251=1,J905,L905))</f>
        <v/>
      </c>
      <c r="W905" t="str">
        <f>IF(AND(V905&lt;&gt;"",ISNUMBER(A905)),A905,"")</f>
        <v/>
      </c>
    </row>
    <row r="906">
      <c r="A906" s="134" t="n"/>
      <c r="B906" s="116" t="n"/>
      <c r="C906" s="116" t="n"/>
      <c r="D906" s="121" t="n"/>
      <c r="E906" s="120" t="n"/>
      <c r="F906" s="120" t="n"/>
      <c r="G906" s="120" t="n"/>
      <c r="H906" s="120" t="n"/>
      <c r="I906" s="117" t="n"/>
      <c r="J906" s="123" t="str">
        <f>IF(B906="","",IF(F906&lt;&gt;"",N(F906),ROUND(N(D906)*N(E906),2)))</f>
        <v/>
      </c>
      <c r="K906" s="123" t="str">
        <f>IF(B906="","",IF(H906&lt;&gt;"",N(H906),IF(B906="Dividendo",ROUND(J906*IFERROR(INDEX(Calcoli!$V$7:$V$21,MATCH(C906,Calcoli!$A$7:$A$21,0)),0.26),2),IF(B906="Vendita",ROUND(MAX(0,U906)*IFERROR(INDEX(Calcoli!$V$7:$V$21,MATCH(C906,Calcoli!$A$7:$A$21,0)),0.26),2),0))))</f>
        <v/>
      </c>
      <c r="L906" s="135" t="str">
        <f>IF(B906="","",IF(B906="Acquisto",-(J906+N(G906)),J906-N(G906)-K906))</f>
        <v/>
      </c>
      <c r="M906" s="127" t="str">
        <f>IF(B906="","",IF(ISNA(MATCH(C906,ETF!$A$7:$A$21,0)),"ETF?",IF(NOT(ISNUMBER(A906)),"Data?",IF(AND(B906&lt;&gt;"Dividendo",N(D906)&lt;=0),"Quote?",IF(AND(B906="Vendita",N(D906)&gt;N(Q906)+0.000001),"Quote?",IF(J906&lt;=0,"Importo?","✓"))))))</f>
        <v/>
      </c>
      <c r="N906" t="str">
        <f>IF(OR(B906="Acquisto",B906="Vendita"),COUNTIFS($C$5:C906,C906,$B$5:B906,"Acquisto")+COUNTIFS($C$5:C906,C906,$B$5:B906,"Vendita"),"")</f>
        <v/>
      </c>
      <c r="O906" t="str">
        <f>IF(N906="","",C906&amp;"|"&amp;N906)</f>
        <v/>
      </c>
      <c r="P906" t="str">
        <f>IF(N906="","",IF(N906=1,0,MATCH(C906&amp;"|"&amp;(N906-1),$O$5:$O$1004,0)))</f>
        <v/>
      </c>
      <c r="Q906" t="str">
        <f>IF(N906="","",IF(P906=0,SUMIFS(Calcoli!$C$7:$C$21,Calcoli!$A$7:$A$21,C906),INDEX($S$5:$S$1004,P906)))</f>
        <v/>
      </c>
      <c r="R906" t="str">
        <f>IF(N906="","",IF(P906=0,SUMIFS(Calcoli!$D$7:$D$21,Calcoli!$A$7:$A$21,C906),INDEX($T$5:$T$1004,P906)))</f>
        <v/>
      </c>
      <c r="S906" t="str">
        <f>IF(N906="","",IF(B906="Acquisto",Q906+N(D906),MAX(0,Q906-N(D906))))</f>
        <v/>
      </c>
      <c r="T906" t="str">
        <f>IF(N906="","",IF(B906="Acquisto",R906+J906+N(G906),IF(Q906&lt;=0,0,R906*(1-MIN(1,N(D906)/Q906)))))</f>
        <v/>
      </c>
      <c r="U906" t="str">
        <f>IF(B906&lt;&gt;"Vendita","",J906-N(G906)-IF(Q906&lt;=0,0,R906*MIN(1,N(D906)/Q906)))</f>
        <v/>
      </c>
      <c r="V906" t="str">
        <f>IF(B906&lt;&gt;"Dividendo","",IF(Calcoli!$B$251=1,J906,L906))</f>
        <v/>
      </c>
      <c r="W906" t="str">
        <f>IF(AND(V906&lt;&gt;"",ISNUMBER(A906)),A906,"")</f>
        <v/>
      </c>
    </row>
    <row r="907">
      <c r="A907" s="134" t="n"/>
      <c r="B907" s="116" t="n"/>
      <c r="C907" s="116" t="n"/>
      <c r="D907" s="121" t="n"/>
      <c r="E907" s="120" t="n"/>
      <c r="F907" s="120" t="n"/>
      <c r="G907" s="120" t="n"/>
      <c r="H907" s="120" t="n"/>
      <c r="I907" s="117" t="n"/>
      <c r="J907" s="123" t="str">
        <f>IF(B907="","",IF(F907&lt;&gt;"",N(F907),ROUND(N(D907)*N(E907),2)))</f>
        <v/>
      </c>
      <c r="K907" s="123" t="str">
        <f>IF(B907="","",IF(H907&lt;&gt;"",N(H907),IF(B907="Dividendo",ROUND(J907*IFERROR(INDEX(Calcoli!$V$7:$V$21,MATCH(C907,Calcoli!$A$7:$A$21,0)),0.26),2),IF(B907="Vendita",ROUND(MAX(0,U907)*IFERROR(INDEX(Calcoli!$V$7:$V$21,MATCH(C907,Calcoli!$A$7:$A$21,0)),0.26),2),0))))</f>
        <v/>
      </c>
      <c r="L907" s="135" t="str">
        <f>IF(B907="","",IF(B907="Acquisto",-(J907+N(G907)),J907-N(G907)-K907))</f>
        <v/>
      </c>
      <c r="M907" s="127" t="str">
        <f>IF(B907="","",IF(ISNA(MATCH(C907,ETF!$A$7:$A$21,0)),"ETF?",IF(NOT(ISNUMBER(A907)),"Data?",IF(AND(B907&lt;&gt;"Dividendo",N(D907)&lt;=0),"Quote?",IF(AND(B907="Vendita",N(D907)&gt;N(Q907)+0.000001),"Quote?",IF(J907&lt;=0,"Importo?","✓"))))))</f>
        <v/>
      </c>
      <c r="N907" t="str">
        <f>IF(OR(B907="Acquisto",B907="Vendita"),COUNTIFS($C$5:C907,C907,$B$5:B907,"Acquisto")+COUNTIFS($C$5:C907,C907,$B$5:B907,"Vendita"),"")</f>
        <v/>
      </c>
      <c r="O907" t="str">
        <f>IF(N907="","",C907&amp;"|"&amp;N907)</f>
        <v/>
      </c>
      <c r="P907" t="str">
        <f>IF(N907="","",IF(N907=1,0,MATCH(C907&amp;"|"&amp;(N907-1),$O$5:$O$1004,0)))</f>
        <v/>
      </c>
      <c r="Q907" t="str">
        <f>IF(N907="","",IF(P907=0,SUMIFS(Calcoli!$C$7:$C$21,Calcoli!$A$7:$A$21,C907),INDEX($S$5:$S$1004,P907)))</f>
        <v/>
      </c>
      <c r="R907" t="str">
        <f>IF(N907="","",IF(P907=0,SUMIFS(Calcoli!$D$7:$D$21,Calcoli!$A$7:$A$21,C907),INDEX($T$5:$T$1004,P907)))</f>
        <v/>
      </c>
      <c r="S907" t="str">
        <f>IF(N907="","",IF(B907="Acquisto",Q907+N(D907),MAX(0,Q907-N(D907))))</f>
        <v/>
      </c>
      <c r="T907" t="str">
        <f>IF(N907="","",IF(B907="Acquisto",R907+J907+N(G907),IF(Q907&lt;=0,0,R907*(1-MIN(1,N(D907)/Q907)))))</f>
        <v/>
      </c>
      <c r="U907" t="str">
        <f>IF(B907&lt;&gt;"Vendita","",J907-N(G907)-IF(Q907&lt;=0,0,R907*MIN(1,N(D907)/Q907)))</f>
        <v/>
      </c>
      <c r="V907" t="str">
        <f>IF(B907&lt;&gt;"Dividendo","",IF(Calcoli!$B$251=1,J907,L907))</f>
        <v/>
      </c>
      <c r="W907" t="str">
        <f>IF(AND(V907&lt;&gt;"",ISNUMBER(A907)),A907,"")</f>
        <v/>
      </c>
    </row>
    <row r="908">
      <c r="A908" s="134" t="n"/>
      <c r="B908" s="116" t="n"/>
      <c r="C908" s="116" t="n"/>
      <c r="D908" s="121" t="n"/>
      <c r="E908" s="120" t="n"/>
      <c r="F908" s="120" t="n"/>
      <c r="G908" s="120" t="n"/>
      <c r="H908" s="120" t="n"/>
      <c r="I908" s="117" t="n"/>
      <c r="J908" s="123" t="str">
        <f>IF(B908="","",IF(F908&lt;&gt;"",N(F908),ROUND(N(D908)*N(E908),2)))</f>
        <v/>
      </c>
      <c r="K908" s="123" t="str">
        <f>IF(B908="","",IF(H908&lt;&gt;"",N(H908),IF(B908="Dividendo",ROUND(J908*IFERROR(INDEX(Calcoli!$V$7:$V$21,MATCH(C908,Calcoli!$A$7:$A$21,0)),0.26),2),IF(B908="Vendita",ROUND(MAX(0,U908)*IFERROR(INDEX(Calcoli!$V$7:$V$21,MATCH(C908,Calcoli!$A$7:$A$21,0)),0.26),2),0))))</f>
        <v/>
      </c>
      <c r="L908" s="135" t="str">
        <f>IF(B908="","",IF(B908="Acquisto",-(J908+N(G908)),J908-N(G908)-K908))</f>
        <v/>
      </c>
      <c r="M908" s="127" t="str">
        <f>IF(B908="","",IF(ISNA(MATCH(C908,ETF!$A$7:$A$21,0)),"ETF?",IF(NOT(ISNUMBER(A908)),"Data?",IF(AND(B908&lt;&gt;"Dividendo",N(D908)&lt;=0),"Quote?",IF(AND(B908="Vendita",N(D908)&gt;N(Q908)+0.000001),"Quote?",IF(J908&lt;=0,"Importo?","✓"))))))</f>
        <v/>
      </c>
      <c r="N908" t="str">
        <f>IF(OR(B908="Acquisto",B908="Vendita"),COUNTIFS($C$5:C908,C908,$B$5:B908,"Acquisto")+COUNTIFS($C$5:C908,C908,$B$5:B908,"Vendita"),"")</f>
        <v/>
      </c>
      <c r="O908" t="str">
        <f>IF(N908="","",C908&amp;"|"&amp;N908)</f>
        <v/>
      </c>
      <c r="P908" t="str">
        <f>IF(N908="","",IF(N908=1,0,MATCH(C908&amp;"|"&amp;(N908-1),$O$5:$O$1004,0)))</f>
        <v/>
      </c>
      <c r="Q908" t="str">
        <f>IF(N908="","",IF(P908=0,SUMIFS(Calcoli!$C$7:$C$21,Calcoli!$A$7:$A$21,C908),INDEX($S$5:$S$1004,P908)))</f>
        <v/>
      </c>
      <c r="R908" t="str">
        <f>IF(N908="","",IF(P908=0,SUMIFS(Calcoli!$D$7:$D$21,Calcoli!$A$7:$A$21,C908),INDEX($T$5:$T$1004,P908)))</f>
        <v/>
      </c>
      <c r="S908" t="str">
        <f>IF(N908="","",IF(B908="Acquisto",Q908+N(D908),MAX(0,Q908-N(D908))))</f>
        <v/>
      </c>
      <c r="T908" t="str">
        <f>IF(N908="","",IF(B908="Acquisto",R908+J908+N(G908),IF(Q908&lt;=0,0,R908*(1-MIN(1,N(D908)/Q908)))))</f>
        <v/>
      </c>
      <c r="U908" t="str">
        <f>IF(B908&lt;&gt;"Vendita","",J908-N(G908)-IF(Q908&lt;=0,0,R908*MIN(1,N(D908)/Q908)))</f>
        <v/>
      </c>
      <c r="V908" t="str">
        <f>IF(B908&lt;&gt;"Dividendo","",IF(Calcoli!$B$251=1,J908,L908))</f>
        <v/>
      </c>
      <c r="W908" t="str">
        <f>IF(AND(V908&lt;&gt;"",ISNUMBER(A908)),A908,"")</f>
        <v/>
      </c>
    </row>
    <row r="909">
      <c r="A909" s="134" t="n"/>
      <c r="B909" s="116" t="n"/>
      <c r="C909" s="116" t="n"/>
      <c r="D909" s="121" t="n"/>
      <c r="E909" s="120" t="n"/>
      <c r="F909" s="120" t="n"/>
      <c r="G909" s="120" t="n"/>
      <c r="H909" s="120" t="n"/>
      <c r="I909" s="117" t="n"/>
      <c r="J909" s="123" t="str">
        <f>IF(B909="","",IF(F909&lt;&gt;"",N(F909),ROUND(N(D909)*N(E909),2)))</f>
        <v/>
      </c>
      <c r="K909" s="123" t="str">
        <f>IF(B909="","",IF(H909&lt;&gt;"",N(H909),IF(B909="Dividendo",ROUND(J909*IFERROR(INDEX(Calcoli!$V$7:$V$21,MATCH(C909,Calcoli!$A$7:$A$21,0)),0.26),2),IF(B909="Vendita",ROUND(MAX(0,U909)*IFERROR(INDEX(Calcoli!$V$7:$V$21,MATCH(C909,Calcoli!$A$7:$A$21,0)),0.26),2),0))))</f>
        <v/>
      </c>
      <c r="L909" s="135" t="str">
        <f>IF(B909="","",IF(B909="Acquisto",-(J909+N(G909)),J909-N(G909)-K909))</f>
        <v/>
      </c>
      <c r="M909" s="127" t="str">
        <f>IF(B909="","",IF(ISNA(MATCH(C909,ETF!$A$7:$A$21,0)),"ETF?",IF(NOT(ISNUMBER(A909)),"Data?",IF(AND(B909&lt;&gt;"Dividendo",N(D909)&lt;=0),"Quote?",IF(AND(B909="Vendita",N(D909)&gt;N(Q909)+0.000001),"Quote?",IF(J909&lt;=0,"Importo?","✓"))))))</f>
        <v/>
      </c>
      <c r="N909" t="str">
        <f>IF(OR(B909="Acquisto",B909="Vendita"),COUNTIFS($C$5:C909,C909,$B$5:B909,"Acquisto")+COUNTIFS($C$5:C909,C909,$B$5:B909,"Vendita"),"")</f>
        <v/>
      </c>
      <c r="O909" t="str">
        <f>IF(N909="","",C909&amp;"|"&amp;N909)</f>
        <v/>
      </c>
      <c r="P909" t="str">
        <f>IF(N909="","",IF(N909=1,0,MATCH(C909&amp;"|"&amp;(N909-1),$O$5:$O$1004,0)))</f>
        <v/>
      </c>
      <c r="Q909" t="str">
        <f>IF(N909="","",IF(P909=0,SUMIFS(Calcoli!$C$7:$C$21,Calcoli!$A$7:$A$21,C909),INDEX($S$5:$S$1004,P909)))</f>
        <v/>
      </c>
      <c r="R909" t="str">
        <f>IF(N909="","",IF(P909=0,SUMIFS(Calcoli!$D$7:$D$21,Calcoli!$A$7:$A$21,C909),INDEX($T$5:$T$1004,P909)))</f>
        <v/>
      </c>
      <c r="S909" t="str">
        <f>IF(N909="","",IF(B909="Acquisto",Q909+N(D909),MAX(0,Q909-N(D909))))</f>
        <v/>
      </c>
      <c r="T909" t="str">
        <f>IF(N909="","",IF(B909="Acquisto",R909+J909+N(G909),IF(Q909&lt;=0,0,R909*(1-MIN(1,N(D909)/Q909)))))</f>
        <v/>
      </c>
      <c r="U909" t="str">
        <f>IF(B909&lt;&gt;"Vendita","",J909-N(G909)-IF(Q909&lt;=0,0,R909*MIN(1,N(D909)/Q909)))</f>
        <v/>
      </c>
      <c r="V909" t="str">
        <f>IF(B909&lt;&gt;"Dividendo","",IF(Calcoli!$B$251=1,J909,L909))</f>
        <v/>
      </c>
      <c r="W909" t="str">
        <f>IF(AND(V909&lt;&gt;"",ISNUMBER(A909)),A909,"")</f>
        <v/>
      </c>
    </row>
    <row r="910">
      <c r="A910" s="134" t="n"/>
      <c r="B910" s="116" t="n"/>
      <c r="C910" s="116" t="n"/>
      <c r="D910" s="121" t="n"/>
      <c r="E910" s="120" t="n"/>
      <c r="F910" s="120" t="n"/>
      <c r="G910" s="120" t="n"/>
      <c r="H910" s="120" t="n"/>
      <c r="I910" s="117" t="n"/>
      <c r="J910" s="123" t="str">
        <f>IF(B910="","",IF(F910&lt;&gt;"",N(F910),ROUND(N(D910)*N(E910),2)))</f>
        <v/>
      </c>
      <c r="K910" s="123" t="str">
        <f>IF(B910="","",IF(H910&lt;&gt;"",N(H910),IF(B910="Dividendo",ROUND(J910*IFERROR(INDEX(Calcoli!$V$7:$V$21,MATCH(C910,Calcoli!$A$7:$A$21,0)),0.26),2),IF(B910="Vendita",ROUND(MAX(0,U910)*IFERROR(INDEX(Calcoli!$V$7:$V$21,MATCH(C910,Calcoli!$A$7:$A$21,0)),0.26),2),0))))</f>
        <v/>
      </c>
      <c r="L910" s="135" t="str">
        <f>IF(B910="","",IF(B910="Acquisto",-(J910+N(G910)),J910-N(G910)-K910))</f>
        <v/>
      </c>
      <c r="M910" s="127" t="str">
        <f>IF(B910="","",IF(ISNA(MATCH(C910,ETF!$A$7:$A$21,0)),"ETF?",IF(NOT(ISNUMBER(A910)),"Data?",IF(AND(B910&lt;&gt;"Dividendo",N(D910)&lt;=0),"Quote?",IF(AND(B910="Vendita",N(D910)&gt;N(Q910)+0.000001),"Quote?",IF(J910&lt;=0,"Importo?","✓"))))))</f>
        <v/>
      </c>
      <c r="N910" t="str">
        <f>IF(OR(B910="Acquisto",B910="Vendita"),COUNTIFS($C$5:C910,C910,$B$5:B910,"Acquisto")+COUNTIFS($C$5:C910,C910,$B$5:B910,"Vendita"),"")</f>
        <v/>
      </c>
      <c r="O910" t="str">
        <f>IF(N910="","",C910&amp;"|"&amp;N910)</f>
        <v/>
      </c>
      <c r="P910" t="str">
        <f>IF(N910="","",IF(N910=1,0,MATCH(C910&amp;"|"&amp;(N910-1),$O$5:$O$1004,0)))</f>
        <v/>
      </c>
      <c r="Q910" t="str">
        <f>IF(N910="","",IF(P910=0,SUMIFS(Calcoli!$C$7:$C$21,Calcoli!$A$7:$A$21,C910),INDEX($S$5:$S$1004,P910)))</f>
        <v/>
      </c>
      <c r="R910" t="str">
        <f>IF(N910="","",IF(P910=0,SUMIFS(Calcoli!$D$7:$D$21,Calcoli!$A$7:$A$21,C910),INDEX($T$5:$T$1004,P910)))</f>
        <v/>
      </c>
      <c r="S910" t="str">
        <f>IF(N910="","",IF(B910="Acquisto",Q910+N(D910),MAX(0,Q910-N(D910))))</f>
        <v/>
      </c>
      <c r="T910" t="str">
        <f>IF(N910="","",IF(B910="Acquisto",R910+J910+N(G910),IF(Q910&lt;=0,0,R910*(1-MIN(1,N(D910)/Q910)))))</f>
        <v/>
      </c>
      <c r="U910" t="str">
        <f>IF(B910&lt;&gt;"Vendita","",J910-N(G910)-IF(Q910&lt;=0,0,R910*MIN(1,N(D910)/Q910)))</f>
        <v/>
      </c>
      <c r="V910" t="str">
        <f>IF(B910&lt;&gt;"Dividendo","",IF(Calcoli!$B$251=1,J910,L910))</f>
        <v/>
      </c>
      <c r="W910" t="str">
        <f>IF(AND(V910&lt;&gt;"",ISNUMBER(A910)),A910,"")</f>
        <v/>
      </c>
    </row>
    <row r="911">
      <c r="A911" s="134" t="n"/>
      <c r="B911" s="116" t="n"/>
      <c r="C911" s="116" t="n"/>
      <c r="D911" s="121" t="n"/>
      <c r="E911" s="120" t="n"/>
      <c r="F911" s="120" t="n"/>
      <c r="G911" s="120" t="n"/>
      <c r="H911" s="120" t="n"/>
      <c r="I911" s="117" t="n"/>
      <c r="J911" s="123" t="str">
        <f>IF(B911="","",IF(F911&lt;&gt;"",N(F911),ROUND(N(D911)*N(E911),2)))</f>
        <v/>
      </c>
      <c r="K911" s="123" t="str">
        <f>IF(B911="","",IF(H911&lt;&gt;"",N(H911),IF(B911="Dividendo",ROUND(J911*IFERROR(INDEX(Calcoli!$V$7:$V$21,MATCH(C911,Calcoli!$A$7:$A$21,0)),0.26),2),IF(B911="Vendita",ROUND(MAX(0,U911)*IFERROR(INDEX(Calcoli!$V$7:$V$21,MATCH(C911,Calcoli!$A$7:$A$21,0)),0.26),2),0))))</f>
        <v/>
      </c>
      <c r="L911" s="135" t="str">
        <f>IF(B911="","",IF(B911="Acquisto",-(J911+N(G911)),J911-N(G911)-K911))</f>
        <v/>
      </c>
      <c r="M911" s="127" t="str">
        <f>IF(B911="","",IF(ISNA(MATCH(C911,ETF!$A$7:$A$21,0)),"ETF?",IF(NOT(ISNUMBER(A911)),"Data?",IF(AND(B911&lt;&gt;"Dividendo",N(D911)&lt;=0),"Quote?",IF(AND(B911="Vendita",N(D911)&gt;N(Q911)+0.000001),"Quote?",IF(J911&lt;=0,"Importo?","✓"))))))</f>
        <v/>
      </c>
      <c r="N911" t="str">
        <f>IF(OR(B911="Acquisto",B911="Vendita"),COUNTIFS($C$5:C911,C911,$B$5:B911,"Acquisto")+COUNTIFS($C$5:C911,C911,$B$5:B911,"Vendita"),"")</f>
        <v/>
      </c>
      <c r="O911" t="str">
        <f>IF(N911="","",C911&amp;"|"&amp;N911)</f>
        <v/>
      </c>
      <c r="P911" t="str">
        <f>IF(N911="","",IF(N911=1,0,MATCH(C911&amp;"|"&amp;(N911-1),$O$5:$O$1004,0)))</f>
        <v/>
      </c>
      <c r="Q911" t="str">
        <f>IF(N911="","",IF(P911=0,SUMIFS(Calcoli!$C$7:$C$21,Calcoli!$A$7:$A$21,C911),INDEX($S$5:$S$1004,P911)))</f>
        <v/>
      </c>
      <c r="R911" t="str">
        <f>IF(N911="","",IF(P911=0,SUMIFS(Calcoli!$D$7:$D$21,Calcoli!$A$7:$A$21,C911),INDEX($T$5:$T$1004,P911)))</f>
        <v/>
      </c>
      <c r="S911" t="str">
        <f>IF(N911="","",IF(B911="Acquisto",Q911+N(D911),MAX(0,Q911-N(D911))))</f>
        <v/>
      </c>
      <c r="T911" t="str">
        <f>IF(N911="","",IF(B911="Acquisto",R911+J911+N(G911),IF(Q911&lt;=0,0,R911*(1-MIN(1,N(D911)/Q911)))))</f>
        <v/>
      </c>
      <c r="U911" t="str">
        <f>IF(B911&lt;&gt;"Vendita","",J911-N(G911)-IF(Q911&lt;=0,0,R911*MIN(1,N(D911)/Q911)))</f>
        <v/>
      </c>
      <c r="V911" t="str">
        <f>IF(B911&lt;&gt;"Dividendo","",IF(Calcoli!$B$251=1,J911,L911))</f>
        <v/>
      </c>
      <c r="W911" t="str">
        <f>IF(AND(V911&lt;&gt;"",ISNUMBER(A911)),A911,"")</f>
        <v/>
      </c>
    </row>
    <row r="912">
      <c r="A912" s="134" t="n"/>
      <c r="B912" s="116" t="n"/>
      <c r="C912" s="116" t="n"/>
      <c r="D912" s="121" t="n"/>
      <c r="E912" s="120" t="n"/>
      <c r="F912" s="120" t="n"/>
      <c r="G912" s="120" t="n"/>
      <c r="H912" s="120" t="n"/>
      <c r="I912" s="117" t="n"/>
      <c r="J912" s="123" t="str">
        <f>IF(B912="","",IF(F912&lt;&gt;"",N(F912),ROUND(N(D912)*N(E912),2)))</f>
        <v/>
      </c>
      <c r="K912" s="123" t="str">
        <f>IF(B912="","",IF(H912&lt;&gt;"",N(H912),IF(B912="Dividendo",ROUND(J912*IFERROR(INDEX(Calcoli!$V$7:$V$21,MATCH(C912,Calcoli!$A$7:$A$21,0)),0.26),2),IF(B912="Vendita",ROUND(MAX(0,U912)*IFERROR(INDEX(Calcoli!$V$7:$V$21,MATCH(C912,Calcoli!$A$7:$A$21,0)),0.26),2),0))))</f>
        <v/>
      </c>
      <c r="L912" s="135" t="str">
        <f>IF(B912="","",IF(B912="Acquisto",-(J912+N(G912)),J912-N(G912)-K912))</f>
        <v/>
      </c>
      <c r="M912" s="127" t="str">
        <f>IF(B912="","",IF(ISNA(MATCH(C912,ETF!$A$7:$A$21,0)),"ETF?",IF(NOT(ISNUMBER(A912)),"Data?",IF(AND(B912&lt;&gt;"Dividendo",N(D912)&lt;=0),"Quote?",IF(AND(B912="Vendita",N(D912)&gt;N(Q912)+0.000001),"Quote?",IF(J912&lt;=0,"Importo?","✓"))))))</f>
        <v/>
      </c>
      <c r="N912" t="str">
        <f>IF(OR(B912="Acquisto",B912="Vendita"),COUNTIFS($C$5:C912,C912,$B$5:B912,"Acquisto")+COUNTIFS($C$5:C912,C912,$B$5:B912,"Vendita"),"")</f>
        <v/>
      </c>
      <c r="O912" t="str">
        <f>IF(N912="","",C912&amp;"|"&amp;N912)</f>
        <v/>
      </c>
      <c r="P912" t="str">
        <f>IF(N912="","",IF(N912=1,0,MATCH(C912&amp;"|"&amp;(N912-1),$O$5:$O$1004,0)))</f>
        <v/>
      </c>
      <c r="Q912" t="str">
        <f>IF(N912="","",IF(P912=0,SUMIFS(Calcoli!$C$7:$C$21,Calcoli!$A$7:$A$21,C912),INDEX($S$5:$S$1004,P912)))</f>
        <v/>
      </c>
      <c r="R912" t="str">
        <f>IF(N912="","",IF(P912=0,SUMIFS(Calcoli!$D$7:$D$21,Calcoli!$A$7:$A$21,C912),INDEX($T$5:$T$1004,P912)))</f>
        <v/>
      </c>
      <c r="S912" t="str">
        <f>IF(N912="","",IF(B912="Acquisto",Q912+N(D912),MAX(0,Q912-N(D912))))</f>
        <v/>
      </c>
      <c r="T912" t="str">
        <f>IF(N912="","",IF(B912="Acquisto",R912+J912+N(G912),IF(Q912&lt;=0,0,R912*(1-MIN(1,N(D912)/Q912)))))</f>
        <v/>
      </c>
      <c r="U912" t="str">
        <f>IF(B912&lt;&gt;"Vendita","",J912-N(G912)-IF(Q912&lt;=0,0,R912*MIN(1,N(D912)/Q912)))</f>
        <v/>
      </c>
      <c r="V912" t="str">
        <f>IF(B912&lt;&gt;"Dividendo","",IF(Calcoli!$B$251=1,J912,L912))</f>
        <v/>
      </c>
      <c r="W912" t="str">
        <f>IF(AND(V912&lt;&gt;"",ISNUMBER(A912)),A912,"")</f>
        <v/>
      </c>
    </row>
    <row r="913">
      <c r="A913" s="134" t="n"/>
      <c r="B913" s="116" t="n"/>
      <c r="C913" s="116" t="n"/>
      <c r="D913" s="121" t="n"/>
      <c r="E913" s="120" t="n"/>
      <c r="F913" s="120" t="n"/>
      <c r="G913" s="120" t="n"/>
      <c r="H913" s="120" t="n"/>
      <c r="I913" s="117" t="n"/>
      <c r="J913" s="123" t="str">
        <f>IF(B913="","",IF(F913&lt;&gt;"",N(F913),ROUND(N(D913)*N(E913),2)))</f>
        <v/>
      </c>
      <c r="K913" s="123" t="str">
        <f>IF(B913="","",IF(H913&lt;&gt;"",N(H913),IF(B913="Dividendo",ROUND(J913*IFERROR(INDEX(Calcoli!$V$7:$V$21,MATCH(C913,Calcoli!$A$7:$A$21,0)),0.26),2),IF(B913="Vendita",ROUND(MAX(0,U913)*IFERROR(INDEX(Calcoli!$V$7:$V$21,MATCH(C913,Calcoli!$A$7:$A$21,0)),0.26),2),0))))</f>
        <v/>
      </c>
      <c r="L913" s="135" t="str">
        <f>IF(B913="","",IF(B913="Acquisto",-(J913+N(G913)),J913-N(G913)-K913))</f>
        <v/>
      </c>
      <c r="M913" s="127" t="str">
        <f>IF(B913="","",IF(ISNA(MATCH(C913,ETF!$A$7:$A$21,0)),"ETF?",IF(NOT(ISNUMBER(A913)),"Data?",IF(AND(B913&lt;&gt;"Dividendo",N(D913)&lt;=0),"Quote?",IF(AND(B913="Vendita",N(D913)&gt;N(Q913)+0.000001),"Quote?",IF(J913&lt;=0,"Importo?","✓"))))))</f>
        <v/>
      </c>
      <c r="N913" t="str">
        <f>IF(OR(B913="Acquisto",B913="Vendita"),COUNTIFS($C$5:C913,C913,$B$5:B913,"Acquisto")+COUNTIFS($C$5:C913,C913,$B$5:B913,"Vendita"),"")</f>
        <v/>
      </c>
      <c r="O913" t="str">
        <f>IF(N913="","",C913&amp;"|"&amp;N913)</f>
        <v/>
      </c>
      <c r="P913" t="str">
        <f>IF(N913="","",IF(N913=1,0,MATCH(C913&amp;"|"&amp;(N913-1),$O$5:$O$1004,0)))</f>
        <v/>
      </c>
      <c r="Q913" t="str">
        <f>IF(N913="","",IF(P913=0,SUMIFS(Calcoli!$C$7:$C$21,Calcoli!$A$7:$A$21,C913),INDEX($S$5:$S$1004,P913)))</f>
        <v/>
      </c>
      <c r="R913" t="str">
        <f>IF(N913="","",IF(P913=0,SUMIFS(Calcoli!$D$7:$D$21,Calcoli!$A$7:$A$21,C913),INDEX($T$5:$T$1004,P913)))</f>
        <v/>
      </c>
      <c r="S913" t="str">
        <f>IF(N913="","",IF(B913="Acquisto",Q913+N(D913),MAX(0,Q913-N(D913))))</f>
        <v/>
      </c>
      <c r="T913" t="str">
        <f>IF(N913="","",IF(B913="Acquisto",R913+J913+N(G913),IF(Q913&lt;=0,0,R913*(1-MIN(1,N(D913)/Q913)))))</f>
        <v/>
      </c>
      <c r="U913" t="str">
        <f>IF(B913&lt;&gt;"Vendita","",J913-N(G913)-IF(Q913&lt;=0,0,R913*MIN(1,N(D913)/Q913)))</f>
        <v/>
      </c>
      <c r="V913" t="str">
        <f>IF(B913&lt;&gt;"Dividendo","",IF(Calcoli!$B$251=1,J913,L913))</f>
        <v/>
      </c>
      <c r="W913" t="str">
        <f>IF(AND(V913&lt;&gt;"",ISNUMBER(A913)),A913,"")</f>
        <v/>
      </c>
    </row>
    <row r="914">
      <c r="A914" s="134" t="n"/>
      <c r="B914" s="116" t="n"/>
      <c r="C914" s="116" t="n"/>
      <c r="D914" s="121" t="n"/>
      <c r="E914" s="120" t="n"/>
      <c r="F914" s="120" t="n"/>
      <c r="G914" s="120" t="n"/>
      <c r="H914" s="120" t="n"/>
      <c r="I914" s="117" t="n"/>
      <c r="J914" s="123" t="str">
        <f>IF(B914="","",IF(F914&lt;&gt;"",N(F914),ROUND(N(D914)*N(E914),2)))</f>
        <v/>
      </c>
      <c r="K914" s="123" t="str">
        <f>IF(B914="","",IF(H914&lt;&gt;"",N(H914),IF(B914="Dividendo",ROUND(J914*IFERROR(INDEX(Calcoli!$V$7:$V$21,MATCH(C914,Calcoli!$A$7:$A$21,0)),0.26),2),IF(B914="Vendita",ROUND(MAX(0,U914)*IFERROR(INDEX(Calcoli!$V$7:$V$21,MATCH(C914,Calcoli!$A$7:$A$21,0)),0.26),2),0))))</f>
        <v/>
      </c>
      <c r="L914" s="135" t="str">
        <f>IF(B914="","",IF(B914="Acquisto",-(J914+N(G914)),J914-N(G914)-K914))</f>
        <v/>
      </c>
      <c r="M914" s="127" t="str">
        <f>IF(B914="","",IF(ISNA(MATCH(C914,ETF!$A$7:$A$21,0)),"ETF?",IF(NOT(ISNUMBER(A914)),"Data?",IF(AND(B914&lt;&gt;"Dividendo",N(D914)&lt;=0),"Quote?",IF(AND(B914="Vendita",N(D914)&gt;N(Q914)+0.000001),"Quote?",IF(J914&lt;=0,"Importo?","✓"))))))</f>
        <v/>
      </c>
      <c r="N914" t="str">
        <f>IF(OR(B914="Acquisto",B914="Vendita"),COUNTIFS($C$5:C914,C914,$B$5:B914,"Acquisto")+COUNTIFS($C$5:C914,C914,$B$5:B914,"Vendita"),"")</f>
        <v/>
      </c>
      <c r="O914" t="str">
        <f>IF(N914="","",C914&amp;"|"&amp;N914)</f>
        <v/>
      </c>
      <c r="P914" t="str">
        <f>IF(N914="","",IF(N914=1,0,MATCH(C914&amp;"|"&amp;(N914-1),$O$5:$O$1004,0)))</f>
        <v/>
      </c>
      <c r="Q914" t="str">
        <f>IF(N914="","",IF(P914=0,SUMIFS(Calcoli!$C$7:$C$21,Calcoli!$A$7:$A$21,C914),INDEX($S$5:$S$1004,P914)))</f>
        <v/>
      </c>
      <c r="R914" t="str">
        <f>IF(N914="","",IF(P914=0,SUMIFS(Calcoli!$D$7:$D$21,Calcoli!$A$7:$A$21,C914),INDEX($T$5:$T$1004,P914)))</f>
        <v/>
      </c>
      <c r="S914" t="str">
        <f>IF(N914="","",IF(B914="Acquisto",Q914+N(D914),MAX(0,Q914-N(D914))))</f>
        <v/>
      </c>
      <c r="T914" t="str">
        <f>IF(N914="","",IF(B914="Acquisto",R914+J914+N(G914),IF(Q914&lt;=0,0,R914*(1-MIN(1,N(D914)/Q914)))))</f>
        <v/>
      </c>
      <c r="U914" t="str">
        <f>IF(B914&lt;&gt;"Vendita","",J914-N(G914)-IF(Q914&lt;=0,0,R914*MIN(1,N(D914)/Q914)))</f>
        <v/>
      </c>
      <c r="V914" t="str">
        <f>IF(B914&lt;&gt;"Dividendo","",IF(Calcoli!$B$251=1,J914,L914))</f>
        <v/>
      </c>
      <c r="W914" t="str">
        <f>IF(AND(V914&lt;&gt;"",ISNUMBER(A914)),A914,"")</f>
        <v/>
      </c>
    </row>
    <row r="915">
      <c r="A915" s="134" t="n"/>
      <c r="B915" s="116" t="n"/>
      <c r="C915" s="116" t="n"/>
      <c r="D915" s="121" t="n"/>
      <c r="E915" s="120" t="n"/>
      <c r="F915" s="120" t="n"/>
      <c r="G915" s="120" t="n"/>
      <c r="H915" s="120" t="n"/>
      <c r="I915" s="117" t="n"/>
      <c r="J915" s="123" t="str">
        <f>IF(B915="","",IF(F915&lt;&gt;"",N(F915),ROUND(N(D915)*N(E915),2)))</f>
        <v/>
      </c>
      <c r="K915" s="123" t="str">
        <f>IF(B915="","",IF(H915&lt;&gt;"",N(H915),IF(B915="Dividendo",ROUND(J915*IFERROR(INDEX(Calcoli!$V$7:$V$21,MATCH(C915,Calcoli!$A$7:$A$21,0)),0.26),2),IF(B915="Vendita",ROUND(MAX(0,U915)*IFERROR(INDEX(Calcoli!$V$7:$V$21,MATCH(C915,Calcoli!$A$7:$A$21,0)),0.26),2),0))))</f>
        <v/>
      </c>
      <c r="L915" s="135" t="str">
        <f>IF(B915="","",IF(B915="Acquisto",-(J915+N(G915)),J915-N(G915)-K915))</f>
        <v/>
      </c>
      <c r="M915" s="127" t="str">
        <f>IF(B915="","",IF(ISNA(MATCH(C915,ETF!$A$7:$A$21,0)),"ETF?",IF(NOT(ISNUMBER(A915)),"Data?",IF(AND(B915&lt;&gt;"Dividendo",N(D915)&lt;=0),"Quote?",IF(AND(B915="Vendita",N(D915)&gt;N(Q915)+0.000001),"Quote?",IF(J915&lt;=0,"Importo?","✓"))))))</f>
        <v/>
      </c>
      <c r="N915" t="str">
        <f>IF(OR(B915="Acquisto",B915="Vendita"),COUNTIFS($C$5:C915,C915,$B$5:B915,"Acquisto")+COUNTIFS($C$5:C915,C915,$B$5:B915,"Vendita"),"")</f>
        <v/>
      </c>
      <c r="O915" t="str">
        <f>IF(N915="","",C915&amp;"|"&amp;N915)</f>
        <v/>
      </c>
      <c r="P915" t="str">
        <f>IF(N915="","",IF(N915=1,0,MATCH(C915&amp;"|"&amp;(N915-1),$O$5:$O$1004,0)))</f>
        <v/>
      </c>
      <c r="Q915" t="str">
        <f>IF(N915="","",IF(P915=0,SUMIFS(Calcoli!$C$7:$C$21,Calcoli!$A$7:$A$21,C915),INDEX($S$5:$S$1004,P915)))</f>
        <v/>
      </c>
      <c r="R915" t="str">
        <f>IF(N915="","",IF(P915=0,SUMIFS(Calcoli!$D$7:$D$21,Calcoli!$A$7:$A$21,C915),INDEX($T$5:$T$1004,P915)))</f>
        <v/>
      </c>
      <c r="S915" t="str">
        <f>IF(N915="","",IF(B915="Acquisto",Q915+N(D915),MAX(0,Q915-N(D915))))</f>
        <v/>
      </c>
      <c r="T915" t="str">
        <f>IF(N915="","",IF(B915="Acquisto",R915+J915+N(G915),IF(Q915&lt;=0,0,R915*(1-MIN(1,N(D915)/Q915)))))</f>
        <v/>
      </c>
      <c r="U915" t="str">
        <f>IF(B915&lt;&gt;"Vendita","",J915-N(G915)-IF(Q915&lt;=0,0,R915*MIN(1,N(D915)/Q915)))</f>
        <v/>
      </c>
      <c r="V915" t="str">
        <f>IF(B915&lt;&gt;"Dividendo","",IF(Calcoli!$B$251=1,J915,L915))</f>
        <v/>
      </c>
      <c r="W915" t="str">
        <f>IF(AND(V915&lt;&gt;"",ISNUMBER(A915)),A915,"")</f>
        <v/>
      </c>
    </row>
    <row r="916">
      <c r="A916" s="134" t="n"/>
      <c r="B916" s="116" t="n"/>
      <c r="C916" s="116" t="n"/>
      <c r="D916" s="121" t="n"/>
      <c r="E916" s="120" t="n"/>
      <c r="F916" s="120" t="n"/>
      <c r="G916" s="120" t="n"/>
      <c r="H916" s="120" t="n"/>
      <c r="I916" s="117" t="n"/>
      <c r="J916" s="123" t="str">
        <f>IF(B916="","",IF(F916&lt;&gt;"",N(F916),ROUND(N(D916)*N(E916),2)))</f>
        <v/>
      </c>
      <c r="K916" s="123" t="str">
        <f>IF(B916="","",IF(H916&lt;&gt;"",N(H916),IF(B916="Dividendo",ROUND(J916*IFERROR(INDEX(Calcoli!$V$7:$V$21,MATCH(C916,Calcoli!$A$7:$A$21,0)),0.26),2),IF(B916="Vendita",ROUND(MAX(0,U916)*IFERROR(INDEX(Calcoli!$V$7:$V$21,MATCH(C916,Calcoli!$A$7:$A$21,0)),0.26),2),0))))</f>
        <v/>
      </c>
      <c r="L916" s="135" t="str">
        <f>IF(B916="","",IF(B916="Acquisto",-(J916+N(G916)),J916-N(G916)-K916))</f>
        <v/>
      </c>
      <c r="M916" s="127" t="str">
        <f>IF(B916="","",IF(ISNA(MATCH(C916,ETF!$A$7:$A$21,0)),"ETF?",IF(NOT(ISNUMBER(A916)),"Data?",IF(AND(B916&lt;&gt;"Dividendo",N(D916)&lt;=0),"Quote?",IF(AND(B916="Vendita",N(D916)&gt;N(Q916)+0.000001),"Quote?",IF(J916&lt;=0,"Importo?","✓"))))))</f>
        <v/>
      </c>
      <c r="N916" t="str">
        <f>IF(OR(B916="Acquisto",B916="Vendita"),COUNTIFS($C$5:C916,C916,$B$5:B916,"Acquisto")+COUNTIFS($C$5:C916,C916,$B$5:B916,"Vendita"),"")</f>
        <v/>
      </c>
      <c r="O916" t="str">
        <f>IF(N916="","",C916&amp;"|"&amp;N916)</f>
        <v/>
      </c>
      <c r="P916" t="str">
        <f>IF(N916="","",IF(N916=1,0,MATCH(C916&amp;"|"&amp;(N916-1),$O$5:$O$1004,0)))</f>
        <v/>
      </c>
      <c r="Q916" t="str">
        <f>IF(N916="","",IF(P916=0,SUMIFS(Calcoli!$C$7:$C$21,Calcoli!$A$7:$A$21,C916),INDEX($S$5:$S$1004,P916)))</f>
        <v/>
      </c>
      <c r="R916" t="str">
        <f>IF(N916="","",IF(P916=0,SUMIFS(Calcoli!$D$7:$D$21,Calcoli!$A$7:$A$21,C916),INDEX($T$5:$T$1004,P916)))</f>
        <v/>
      </c>
      <c r="S916" t="str">
        <f>IF(N916="","",IF(B916="Acquisto",Q916+N(D916),MAX(0,Q916-N(D916))))</f>
        <v/>
      </c>
      <c r="T916" t="str">
        <f>IF(N916="","",IF(B916="Acquisto",R916+J916+N(G916),IF(Q916&lt;=0,0,R916*(1-MIN(1,N(D916)/Q916)))))</f>
        <v/>
      </c>
      <c r="U916" t="str">
        <f>IF(B916&lt;&gt;"Vendita","",J916-N(G916)-IF(Q916&lt;=0,0,R916*MIN(1,N(D916)/Q916)))</f>
        <v/>
      </c>
      <c r="V916" t="str">
        <f>IF(B916&lt;&gt;"Dividendo","",IF(Calcoli!$B$251=1,J916,L916))</f>
        <v/>
      </c>
      <c r="W916" t="str">
        <f>IF(AND(V916&lt;&gt;"",ISNUMBER(A916)),A916,"")</f>
        <v/>
      </c>
    </row>
    <row r="917">
      <c r="A917" s="134" t="n"/>
      <c r="B917" s="116" t="n"/>
      <c r="C917" s="116" t="n"/>
      <c r="D917" s="121" t="n"/>
      <c r="E917" s="120" t="n"/>
      <c r="F917" s="120" t="n"/>
      <c r="G917" s="120" t="n"/>
      <c r="H917" s="120" t="n"/>
      <c r="I917" s="117" t="n"/>
      <c r="J917" s="123" t="str">
        <f>IF(B917="","",IF(F917&lt;&gt;"",N(F917),ROUND(N(D917)*N(E917),2)))</f>
        <v/>
      </c>
      <c r="K917" s="123" t="str">
        <f>IF(B917="","",IF(H917&lt;&gt;"",N(H917),IF(B917="Dividendo",ROUND(J917*IFERROR(INDEX(Calcoli!$V$7:$V$21,MATCH(C917,Calcoli!$A$7:$A$21,0)),0.26),2),IF(B917="Vendita",ROUND(MAX(0,U917)*IFERROR(INDEX(Calcoli!$V$7:$V$21,MATCH(C917,Calcoli!$A$7:$A$21,0)),0.26),2),0))))</f>
        <v/>
      </c>
      <c r="L917" s="135" t="str">
        <f>IF(B917="","",IF(B917="Acquisto",-(J917+N(G917)),J917-N(G917)-K917))</f>
        <v/>
      </c>
      <c r="M917" s="127" t="str">
        <f>IF(B917="","",IF(ISNA(MATCH(C917,ETF!$A$7:$A$21,0)),"ETF?",IF(NOT(ISNUMBER(A917)),"Data?",IF(AND(B917&lt;&gt;"Dividendo",N(D917)&lt;=0),"Quote?",IF(AND(B917="Vendita",N(D917)&gt;N(Q917)+0.000001),"Quote?",IF(J917&lt;=0,"Importo?","✓"))))))</f>
        <v/>
      </c>
      <c r="N917" t="str">
        <f>IF(OR(B917="Acquisto",B917="Vendita"),COUNTIFS($C$5:C917,C917,$B$5:B917,"Acquisto")+COUNTIFS($C$5:C917,C917,$B$5:B917,"Vendita"),"")</f>
        <v/>
      </c>
      <c r="O917" t="str">
        <f>IF(N917="","",C917&amp;"|"&amp;N917)</f>
        <v/>
      </c>
      <c r="P917" t="str">
        <f>IF(N917="","",IF(N917=1,0,MATCH(C917&amp;"|"&amp;(N917-1),$O$5:$O$1004,0)))</f>
        <v/>
      </c>
      <c r="Q917" t="str">
        <f>IF(N917="","",IF(P917=0,SUMIFS(Calcoli!$C$7:$C$21,Calcoli!$A$7:$A$21,C917),INDEX($S$5:$S$1004,P917)))</f>
        <v/>
      </c>
      <c r="R917" t="str">
        <f>IF(N917="","",IF(P917=0,SUMIFS(Calcoli!$D$7:$D$21,Calcoli!$A$7:$A$21,C917),INDEX($T$5:$T$1004,P917)))</f>
        <v/>
      </c>
      <c r="S917" t="str">
        <f>IF(N917="","",IF(B917="Acquisto",Q917+N(D917),MAX(0,Q917-N(D917))))</f>
        <v/>
      </c>
      <c r="T917" t="str">
        <f>IF(N917="","",IF(B917="Acquisto",R917+J917+N(G917),IF(Q917&lt;=0,0,R917*(1-MIN(1,N(D917)/Q917)))))</f>
        <v/>
      </c>
      <c r="U917" t="str">
        <f>IF(B917&lt;&gt;"Vendita","",J917-N(G917)-IF(Q917&lt;=0,0,R917*MIN(1,N(D917)/Q917)))</f>
        <v/>
      </c>
      <c r="V917" t="str">
        <f>IF(B917&lt;&gt;"Dividendo","",IF(Calcoli!$B$251=1,J917,L917))</f>
        <v/>
      </c>
      <c r="W917" t="str">
        <f>IF(AND(V917&lt;&gt;"",ISNUMBER(A917)),A917,"")</f>
        <v/>
      </c>
    </row>
    <row r="918">
      <c r="A918" s="134" t="n"/>
      <c r="B918" s="116" t="n"/>
      <c r="C918" s="116" t="n"/>
      <c r="D918" s="121" t="n"/>
      <c r="E918" s="120" t="n"/>
      <c r="F918" s="120" t="n"/>
      <c r="G918" s="120" t="n"/>
      <c r="H918" s="120" t="n"/>
      <c r="I918" s="117" t="n"/>
      <c r="J918" s="123" t="str">
        <f>IF(B918="","",IF(F918&lt;&gt;"",N(F918),ROUND(N(D918)*N(E918),2)))</f>
        <v/>
      </c>
      <c r="K918" s="123" t="str">
        <f>IF(B918="","",IF(H918&lt;&gt;"",N(H918),IF(B918="Dividendo",ROUND(J918*IFERROR(INDEX(Calcoli!$V$7:$V$21,MATCH(C918,Calcoli!$A$7:$A$21,0)),0.26),2),IF(B918="Vendita",ROUND(MAX(0,U918)*IFERROR(INDEX(Calcoli!$V$7:$V$21,MATCH(C918,Calcoli!$A$7:$A$21,0)),0.26),2),0))))</f>
        <v/>
      </c>
      <c r="L918" s="135" t="str">
        <f>IF(B918="","",IF(B918="Acquisto",-(J918+N(G918)),J918-N(G918)-K918))</f>
        <v/>
      </c>
      <c r="M918" s="127" t="str">
        <f>IF(B918="","",IF(ISNA(MATCH(C918,ETF!$A$7:$A$21,0)),"ETF?",IF(NOT(ISNUMBER(A918)),"Data?",IF(AND(B918&lt;&gt;"Dividendo",N(D918)&lt;=0),"Quote?",IF(AND(B918="Vendita",N(D918)&gt;N(Q918)+0.000001),"Quote?",IF(J918&lt;=0,"Importo?","✓"))))))</f>
        <v/>
      </c>
      <c r="N918" t="str">
        <f>IF(OR(B918="Acquisto",B918="Vendita"),COUNTIFS($C$5:C918,C918,$B$5:B918,"Acquisto")+COUNTIFS($C$5:C918,C918,$B$5:B918,"Vendita"),"")</f>
        <v/>
      </c>
      <c r="O918" t="str">
        <f>IF(N918="","",C918&amp;"|"&amp;N918)</f>
        <v/>
      </c>
      <c r="P918" t="str">
        <f>IF(N918="","",IF(N918=1,0,MATCH(C918&amp;"|"&amp;(N918-1),$O$5:$O$1004,0)))</f>
        <v/>
      </c>
      <c r="Q918" t="str">
        <f>IF(N918="","",IF(P918=0,SUMIFS(Calcoli!$C$7:$C$21,Calcoli!$A$7:$A$21,C918),INDEX($S$5:$S$1004,P918)))</f>
        <v/>
      </c>
      <c r="R918" t="str">
        <f>IF(N918="","",IF(P918=0,SUMIFS(Calcoli!$D$7:$D$21,Calcoli!$A$7:$A$21,C918),INDEX($T$5:$T$1004,P918)))</f>
        <v/>
      </c>
      <c r="S918" t="str">
        <f>IF(N918="","",IF(B918="Acquisto",Q918+N(D918),MAX(0,Q918-N(D918))))</f>
        <v/>
      </c>
      <c r="T918" t="str">
        <f>IF(N918="","",IF(B918="Acquisto",R918+J918+N(G918),IF(Q918&lt;=0,0,R918*(1-MIN(1,N(D918)/Q918)))))</f>
        <v/>
      </c>
      <c r="U918" t="str">
        <f>IF(B918&lt;&gt;"Vendita","",J918-N(G918)-IF(Q918&lt;=0,0,R918*MIN(1,N(D918)/Q918)))</f>
        <v/>
      </c>
      <c r="V918" t="str">
        <f>IF(B918&lt;&gt;"Dividendo","",IF(Calcoli!$B$251=1,J918,L918))</f>
        <v/>
      </c>
      <c r="W918" t="str">
        <f>IF(AND(V918&lt;&gt;"",ISNUMBER(A918)),A918,"")</f>
        <v/>
      </c>
    </row>
    <row r="919">
      <c r="A919" s="134" t="n"/>
      <c r="B919" s="116" t="n"/>
      <c r="C919" s="116" t="n"/>
      <c r="D919" s="121" t="n"/>
      <c r="E919" s="120" t="n"/>
      <c r="F919" s="120" t="n"/>
      <c r="G919" s="120" t="n"/>
      <c r="H919" s="120" t="n"/>
      <c r="I919" s="117" t="n"/>
      <c r="J919" s="123" t="str">
        <f>IF(B919="","",IF(F919&lt;&gt;"",N(F919),ROUND(N(D919)*N(E919),2)))</f>
        <v/>
      </c>
      <c r="K919" s="123" t="str">
        <f>IF(B919="","",IF(H919&lt;&gt;"",N(H919),IF(B919="Dividendo",ROUND(J919*IFERROR(INDEX(Calcoli!$V$7:$V$21,MATCH(C919,Calcoli!$A$7:$A$21,0)),0.26),2),IF(B919="Vendita",ROUND(MAX(0,U919)*IFERROR(INDEX(Calcoli!$V$7:$V$21,MATCH(C919,Calcoli!$A$7:$A$21,0)),0.26),2),0))))</f>
        <v/>
      </c>
      <c r="L919" s="135" t="str">
        <f>IF(B919="","",IF(B919="Acquisto",-(J919+N(G919)),J919-N(G919)-K919))</f>
        <v/>
      </c>
      <c r="M919" s="127" t="str">
        <f>IF(B919="","",IF(ISNA(MATCH(C919,ETF!$A$7:$A$21,0)),"ETF?",IF(NOT(ISNUMBER(A919)),"Data?",IF(AND(B919&lt;&gt;"Dividendo",N(D919)&lt;=0),"Quote?",IF(AND(B919="Vendita",N(D919)&gt;N(Q919)+0.000001),"Quote?",IF(J919&lt;=0,"Importo?","✓"))))))</f>
        <v/>
      </c>
      <c r="N919" t="str">
        <f>IF(OR(B919="Acquisto",B919="Vendita"),COUNTIFS($C$5:C919,C919,$B$5:B919,"Acquisto")+COUNTIFS($C$5:C919,C919,$B$5:B919,"Vendita"),"")</f>
        <v/>
      </c>
      <c r="O919" t="str">
        <f>IF(N919="","",C919&amp;"|"&amp;N919)</f>
        <v/>
      </c>
      <c r="P919" t="str">
        <f>IF(N919="","",IF(N919=1,0,MATCH(C919&amp;"|"&amp;(N919-1),$O$5:$O$1004,0)))</f>
        <v/>
      </c>
      <c r="Q919" t="str">
        <f>IF(N919="","",IF(P919=0,SUMIFS(Calcoli!$C$7:$C$21,Calcoli!$A$7:$A$21,C919),INDEX($S$5:$S$1004,P919)))</f>
        <v/>
      </c>
      <c r="R919" t="str">
        <f>IF(N919="","",IF(P919=0,SUMIFS(Calcoli!$D$7:$D$21,Calcoli!$A$7:$A$21,C919),INDEX($T$5:$T$1004,P919)))</f>
        <v/>
      </c>
      <c r="S919" t="str">
        <f>IF(N919="","",IF(B919="Acquisto",Q919+N(D919),MAX(0,Q919-N(D919))))</f>
        <v/>
      </c>
      <c r="T919" t="str">
        <f>IF(N919="","",IF(B919="Acquisto",R919+J919+N(G919),IF(Q919&lt;=0,0,R919*(1-MIN(1,N(D919)/Q919)))))</f>
        <v/>
      </c>
      <c r="U919" t="str">
        <f>IF(B919&lt;&gt;"Vendita","",J919-N(G919)-IF(Q919&lt;=0,0,R919*MIN(1,N(D919)/Q919)))</f>
        <v/>
      </c>
      <c r="V919" t="str">
        <f>IF(B919&lt;&gt;"Dividendo","",IF(Calcoli!$B$251=1,J919,L919))</f>
        <v/>
      </c>
      <c r="W919" t="str">
        <f>IF(AND(V919&lt;&gt;"",ISNUMBER(A919)),A919,"")</f>
        <v/>
      </c>
    </row>
    <row r="920">
      <c r="A920" s="134" t="n"/>
      <c r="B920" s="116" t="n"/>
      <c r="C920" s="116" t="n"/>
      <c r="D920" s="121" t="n"/>
      <c r="E920" s="120" t="n"/>
      <c r="F920" s="120" t="n"/>
      <c r="G920" s="120" t="n"/>
      <c r="H920" s="120" t="n"/>
      <c r="I920" s="117" t="n"/>
      <c r="J920" s="123" t="str">
        <f>IF(B920="","",IF(F920&lt;&gt;"",N(F920),ROUND(N(D920)*N(E920),2)))</f>
        <v/>
      </c>
      <c r="K920" s="123" t="str">
        <f>IF(B920="","",IF(H920&lt;&gt;"",N(H920),IF(B920="Dividendo",ROUND(J920*IFERROR(INDEX(Calcoli!$V$7:$V$21,MATCH(C920,Calcoli!$A$7:$A$21,0)),0.26),2),IF(B920="Vendita",ROUND(MAX(0,U920)*IFERROR(INDEX(Calcoli!$V$7:$V$21,MATCH(C920,Calcoli!$A$7:$A$21,0)),0.26),2),0))))</f>
        <v/>
      </c>
      <c r="L920" s="135" t="str">
        <f>IF(B920="","",IF(B920="Acquisto",-(J920+N(G920)),J920-N(G920)-K920))</f>
        <v/>
      </c>
      <c r="M920" s="127" t="str">
        <f>IF(B920="","",IF(ISNA(MATCH(C920,ETF!$A$7:$A$21,0)),"ETF?",IF(NOT(ISNUMBER(A920)),"Data?",IF(AND(B920&lt;&gt;"Dividendo",N(D920)&lt;=0),"Quote?",IF(AND(B920="Vendita",N(D920)&gt;N(Q920)+0.000001),"Quote?",IF(J920&lt;=0,"Importo?","✓"))))))</f>
        <v/>
      </c>
      <c r="N920" t="str">
        <f>IF(OR(B920="Acquisto",B920="Vendita"),COUNTIFS($C$5:C920,C920,$B$5:B920,"Acquisto")+COUNTIFS($C$5:C920,C920,$B$5:B920,"Vendita"),"")</f>
        <v/>
      </c>
      <c r="O920" t="str">
        <f>IF(N920="","",C920&amp;"|"&amp;N920)</f>
        <v/>
      </c>
      <c r="P920" t="str">
        <f>IF(N920="","",IF(N920=1,0,MATCH(C920&amp;"|"&amp;(N920-1),$O$5:$O$1004,0)))</f>
        <v/>
      </c>
      <c r="Q920" t="str">
        <f>IF(N920="","",IF(P920=0,SUMIFS(Calcoli!$C$7:$C$21,Calcoli!$A$7:$A$21,C920),INDEX($S$5:$S$1004,P920)))</f>
        <v/>
      </c>
      <c r="R920" t="str">
        <f>IF(N920="","",IF(P920=0,SUMIFS(Calcoli!$D$7:$D$21,Calcoli!$A$7:$A$21,C920),INDEX($T$5:$T$1004,P920)))</f>
        <v/>
      </c>
      <c r="S920" t="str">
        <f>IF(N920="","",IF(B920="Acquisto",Q920+N(D920),MAX(0,Q920-N(D920))))</f>
        <v/>
      </c>
      <c r="T920" t="str">
        <f>IF(N920="","",IF(B920="Acquisto",R920+J920+N(G920),IF(Q920&lt;=0,0,R920*(1-MIN(1,N(D920)/Q920)))))</f>
        <v/>
      </c>
      <c r="U920" t="str">
        <f>IF(B920&lt;&gt;"Vendita","",J920-N(G920)-IF(Q920&lt;=0,0,R920*MIN(1,N(D920)/Q920)))</f>
        <v/>
      </c>
      <c r="V920" t="str">
        <f>IF(B920&lt;&gt;"Dividendo","",IF(Calcoli!$B$251=1,J920,L920))</f>
        <v/>
      </c>
      <c r="W920" t="str">
        <f>IF(AND(V920&lt;&gt;"",ISNUMBER(A920)),A920,"")</f>
        <v/>
      </c>
    </row>
    <row r="921">
      <c r="A921" s="134" t="n"/>
      <c r="B921" s="116" t="n"/>
      <c r="C921" s="116" t="n"/>
      <c r="D921" s="121" t="n"/>
      <c r="E921" s="120" t="n"/>
      <c r="F921" s="120" t="n"/>
      <c r="G921" s="120" t="n"/>
      <c r="H921" s="120" t="n"/>
      <c r="I921" s="117" t="n"/>
      <c r="J921" s="123" t="str">
        <f>IF(B921="","",IF(F921&lt;&gt;"",N(F921),ROUND(N(D921)*N(E921),2)))</f>
        <v/>
      </c>
      <c r="K921" s="123" t="str">
        <f>IF(B921="","",IF(H921&lt;&gt;"",N(H921),IF(B921="Dividendo",ROUND(J921*IFERROR(INDEX(Calcoli!$V$7:$V$21,MATCH(C921,Calcoli!$A$7:$A$21,0)),0.26),2),IF(B921="Vendita",ROUND(MAX(0,U921)*IFERROR(INDEX(Calcoli!$V$7:$V$21,MATCH(C921,Calcoli!$A$7:$A$21,0)),0.26),2),0))))</f>
        <v/>
      </c>
      <c r="L921" s="135" t="str">
        <f>IF(B921="","",IF(B921="Acquisto",-(J921+N(G921)),J921-N(G921)-K921))</f>
        <v/>
      </c>
      <c r="M921" s="127" t="str">
        <f>IF(B921="","",IF(ISNA(MATCH(C921,ETF!$A$7:$A$21,0)),"ETF?",IF(NOT(ISNUMBER(A921)),"Data?",IF(AND(B921&lt;&gt;"Dividendo",N(D921)&lt;=0),"Quote?",IF(AND(B921="Vendita",N(D921)&gt;N(Q921)+0.000001),"Quote?",IF(J921&lt;=0,"Importo?","✓"))))))</f>
        <v/>
      </c>
      <c r="N921" t="str">
        <f>IF(OR(B921="Acquisto",B921="Vendita"),COUNTIFS($C$5:C921,C921,$B$5:B921,"Acquisto")+COUNTIFS($C$5:C921,C921,$B$5:B921,"Vendita"),"")</f>
        <v/>
      </c>
      <c r="O921" t="str">
        <f>IF(N921="","",C921&amp;"|"&amp;N921)</f>
        <v/>
      </c>
      <c r="P921" t="str">
        <f>IF(N921="","",IF(N921=1,0,MATCH(C921&amp;"|"&amp;(N921-1),$O$5:$O$1004,0)))</f>
        <v/>
      </c>
      <c r="Q921" t="str">
        <f>IF(N921="","",IF(P921=0,SUMIFS(Calcoli!$C$7:$C$21,Calcoli!$A$7:$A$21,C921),INDEX($S$5:$S$1004,P921)))</f>
        <v/>
      </c>
      <c r="R921" t="str">
        <f>IF(N921="","",IF(P921=0,SUMIFS(Calcoli!$D$7:$D$21,Calcoli!$A$7:$A$21,C921),INDEX($T$5:$T$1004,P921)))</f>
        <v/>
      </c>
      <c r="S921" t="str">
        <f>IF(N921="","",IF(B921="Acquisto",Q921+N(D921),MAX(0,Q921-N(D921))))</f>
        <v/>
      </c>
      <c r="T921" t="str">
        <f>IF(N921="","",IF(B921="Acquisto",R921+J921+N(G921),IF(Q921&lt;=0,0,R921*(1-MIN(1,N(D921)/Q921)))))</f>
        <v/>
      </c>
      <c r="U921" t="str">
        <f>IF(B921&lt;&gt;"Vendita","",J921-N(G921)-IF(Q921&lt;=0,0,R921*MIN(1,N(D921)/Q921)))</f>
        <v/>
      </c>
      <c r="V921" t="str">
        <f>IF(B921&lt;&gt;"Dividendo","",IF(Calcoli!$B$251=1,J921,L921))</f>
        <v/>
      </c>
      <c r="W921" t="str">
        <f>IF(AND(V921&lt;&gt;"",ISNUMBER(A921)),A921,"")</f>
        <v/>
      </c>
    </row>
    <row r="922">
      <c r="A922" s="134" t="n"/>
      <c r="B922" s="116" t="n"/>
      <c r="C922" s="116" t="n"/>
      <c r="D922" s="121" t="n"/>
      <c r="E922" s="120" t="n"/>
      <c r="F922" s="120" t="n"/>
      <c r="G922" s="120" t="n"/>
      <c r="H922" s="120" t="n"/>
      <c r="I922" s="117" t="n"/>
      <c r="J922" s="123" t="str">
        <f>IF(B922="","",IF(F922&lt;&gt;"",N(F922),ROUND(N(D922)*N(E922),2)))</f>
        <v/>
      </c>
      <c r="K922" s="123" t="str">
        <f>IF(B922="","",IF(H922&lt;&gt;"",N(H922),IF(B922="Dividendo",ROUND(J922*IFERROR(INDEX(Calcoli!$V$7:$V$21,MATCH(C922,Calcoli!$A$7:$A$21,0)),0.26),2),IF(B922="Vendita",ROUND(MAX(0,U922)*IFERROR(INDEX(Calcoli!$V$7:$V$21,MATCH(C922,Calcoli!$A$7:$A$21,0)),0.26),2),0))))</f>
        <v/>
      </c>
      <c r="L922" s="135" t="str">
        <f>IF(B922="","",IF(B922="Acquisto",-(J922+N(G922)),J922-N(G922)-K922))</f>
        <v/>
      </c>
      <c r="M922" s="127" t="str">
        <f>IF(B922="","",IF(ISNA(MATCH(C922,ETF!$A$7:$A$21,0)),"ETF?",IF(NOT(ISNUMBER(A922)),"Data?",IF(AND(B922&lt;&gt;"Dividendo",N(D922)&lt;=0),"Quote?",IF(AND(B922="Vendita",N(D922)&gt;N(Q922)+0.000001),"Quote?",IF(J922&lt;=0,"Importo?","✓"))))))</f>
        <v/>
      </c>
      <c r="N922" t="str">
        <f>IF(OR(B922="Acquisto",B922="Vendita"),COUNTIFS($C$5:C922,C922,$B$5:B922,"Acquisto")+COUNTIFS($C$5:C922,C922,$B$5:B922,"Vendita"),"")</f>
        <v/>
      </c>
      <c r="O922" t="str">
        <f>IF(N922="","",C922&amp;"|"&amp;N922)</f>
        <v/>
      </c>
      <c r="P922" t="str">
        <f>IF(N922="","",IF(N922=1,0,MATCH(C922&amp;"|"&amp;(N922-1),$O$5:$O$1004,0)))</f>
        <v/>
      </c>
      <c r="Q922" t="str">
        <f>IF(N922="","",IF(P922=0,SUMIFS(Calcoli!$C$7:$C$21,Calcoli!$A$7:$A$21,C922),INDEX($S$5:$S$1004,P922)))</f>
        <v/>
      </c>
      <c r="R922" t="str">
        <f>IF(N922="","",IF(P922=0,SUMIFS(Calcoli!$D$7:$D$21,Calcoli!$A$7:$A$21,C922),INDEX($T$5:$T$1004,P922)))</f>
        <v/>
      </c>
      <c r="S922" t="str">
        <f>IF(N922="","",IF(B922="Acquisto",Q922+N(D922),MAX(0,Q922-N(D922))))</f>
        <v/>
      </c>
      <c r="T922" t="str">
        <f>IF(N922="","",IF(B922="Acquisto",R922+J922+N(G922),IF(Q922&lt;=0,0,R922*(1-MIN(1,N(D922)/Q922)))))</f>
        <v/>
      </c>
      <c r="U922" t="str">
        <f>IF(B922&lt;&gt;"Vendita","",J922-N(G922)-IF(Q922&lt;=0,0,R922*MIN(1,N(D922)/Q922)))</f>
        <v/>
      </c>
      <c r="V922" t="str">
        <f>IF(B922&lt;&gt;"Dividendo","",IF(Calcoli!$B$251=1,J922,L922))</f>
        <v/>
      </c>
      <c r="W922" t="str">
        <f>IF(AND(V922&lt;&gt;"",ISNUMBER(A922)),A922,"")</f>
        <v/>
      </c>
    </row>
    <row r="923">
      <c r="A923" s="134" t="n"/>
      <c r="B923" s="116" t="n"/>
      <c r="C923" s="116" t="n"/>
      <c r="D923" s="121" t="n"/>
      <c r="E923" s="120" t="n"/>
      <c r="F923" s="120" t="n"/>
      <c r="G923" s="120" t="n"/>
      <c r="H923" s="120" t="n"/>
      <c r="I923" s="117" t="n"/>
      <c r="J923" s="123" t="str">
        <f>IF(B923="","",IF(F923&lt;&gt;"",N(F923),ROUND(N(D923)*N(E923),2)))</f>
        <v/>
      </c>
      <c r="K923" s="123" t="str">
        <f>IF(B923="","",IF(H923&lt;&gt;"",N(H923),IF(B923="Dividendo",ROUND(J923*IFERROR(INDEX(Calcoli!$V$7:$V$21,MATCH(C923,Calcoli!$A$7:$A$21,0)),0.26),2),IF(B923="Vendita",ROUND(MAX(0,U923)*IFERROR(INDEX(Calcoli!$V$7:$V$21,MATCH(C923,Calcoli!$A$7:$A$21,0)),0.26),2),0))))</f>
        <v/>
      </c>
      <c r="L923" s="135" t="str">
        <f>IF(B923="","",IF(B923="Acquisto",-(J923+N(G923)),J923-N(G923)-K923))</f>
        <v/>
      </c>
      <c r="M923" s="127" t="str">
        <f>IF(B923="","",IF(ISNA(MATCH(C923,ETF!$A$7:$A$21,0)),"ETF?",IF(NOT(ISNUMBER(A923)),"Data?",IF(AND(B923&lt;&gt;"Dividendo",N(D923)&lt;=0),"Quote?",IF(AND(B923="Vendita",N(D923)&gt;N(Q923)+0.000001),"Quote?",IF(J923&lt;=0,"Importo?","✓"))))))</f>
        <v/>
      </c>
      <c r="N923" t="str">
        <f>IF(OR(B923="Acquisto",B923="Vendita"),COUNTIFS($C$5:C923,C923,$B$5:B923,"Acquisto")+COUNTIFS($C$5:C923,C923,$B$5:B923,"Vendita"),"")</f>
        <v/>
      </c>
      <c r="O923" t="str">
        <f>IF(N923="","",C923&amp;"|"&amp;N923)</f>
        <v/>
      </c>
      <c r="P923" t="str">
        <f>IF(N923="","",IF(N923=1,0,MATCH(C923&amp;"|"&amp;(N923-1),$O$5:$O$1004,0)))</f>
        <v/>
      </c>
      <c r="Q923" t="str">
        <f>IF(N923="","",IF(P923=0,SUMIFS(Calcoli!$C$7:$C$21,Calcoli!$A$7:$A$21,C923),INDEX($S$5:$S$1004,P923)))</f>
        <v/>
      </c>
      <c r="R923" t="str">
        <f>IF(N923="","",IF(P923=0,SUMIFS(Calcoli!$D$7:$D$21,Calcoli!$A$7:$A$21,C923),INDEX($T$5:$T$1004,P923)))</f>
        <v/>
      </c>
      <c r="S923" t="str">
        <f>IF(N923="","",IF(B923="Acquisto",Q923+N(D923),MAX(0,Q923-N(D923))))</f>
        <v/>
      </c>
      <c r="T923" t="str">
        <f>IF(N923="","",IF(B923="Acquisto",R923+J923+N(G923),IF(Q923&lt;=0,0,R923*(1-MIN(1,N(D923)/Q923)))))</f>
        <v/>
      </c>
      <c r="U923" t="str">
        <f>IF(B923&lt;&gt;"Vendita","",J923-N(G923)-IF(Q923&lt;=0,0,R923*MIN(1,N(D923)/Q923)))</f>
        <v/>
      </c>
      <c r="V923" t="str">
        <f>IF(B923&lt;&gt;"Dividendo","",IF(Calcoli!$B$251=1,J923,L923))</f>
        <v/>
      </c>
      <c r="W923" t="str">
        <f>IF(AND(V923&lt;&gt;"",ISNUMBER(A923)),A923,"")</f>
        <v/>
      </c>
    </row>
    <row r="924">
      <c r="A924" s="134" t="n"/>
      <c r="B924" s="116" t="n"/>
      <c r="C924" s="116" t="n"/>
      <c r="D924" s="121" t="n"/>
      <c r="E924" s="120" t="n"/>
      <c r="F924" s="120" t="n"/>
      <c r="G924" s="120" t="n"/>
      <c r="H924" s="120" t="n"/>
      <c r="I924" s="117" t="n"/>
      <c r="J924" s="123" t="str">
        <f>IF(B924="","",IF(F924&lt;&gt;"",N(F924),ROUND(N(D924)*N(E924),2)))</f>
        <v/>
      </c>
      <c r="K924" s="123" t="str">
        <f>IF(B924="","",IF(H924&lt;&gt;"",N(H924),IF(B924="Dividendo",ROUND(J924*IFERROR(INDEX(Calcoli!$V$7:$V$21,MATCH(C924,Calcoli!$A$7:$A$21,0)),0.26),2),IF(B924="Vendita",ROUND(MAX(0,U924)*IFERROR(INDEX(Calcoli!$V$7:$V$21,MATCH(C924,Calcoli!$A$7:$A$21,0)),0.26),2),0))))</f>
        <v/>
      </c>
      <c r="L924" s="135" t="str">
        <f>IF(B924="","",IF(B924="Acquisto",-(J924+N(G924)),J924-N(G924)-K924))</f>
        <v/>
      </c>
      <c r="M924" s="127" t="str">
        <f>IF(B924="","",IF(ISNA(MATCH(C924,ETF!$A$7:$A$21,0)),"ETF?",IF(NOT(ISNUMBER(A924)),"Data?",IF(AND(B924&lt;&gt;"Dividendo",N(D924)&lt;=0),"Quote?",IF(AND(B924="Vendita",N(D924)&gt;N(Q924)+0.000001),"Quote?",IF(J924&lt;=0,"Importo?","✓"))))))</f>
        <v/>
      </c>
      <c r="N924" t="str">
        <f>IF(OR(B924="Acquisto",B924="Vendita"),COUNTIFS($C$5:C924,C924,$B$5:B924,"Acquisto")+COUNTIFS($C$5:C924,C924,$B$5:B924,"Vendita"),"")</f>
        <v/>
      </c>
      <c r="O924" t="str">
        <f>IF(N924="","",C924&amp;"|"&amp;N924)</f>
        <v/>
      </c>
      <c r="P924" t="str">
        <f>IF(N924="","",IF(N924=1,0,MATCH(C924&amp;"|"&amp;(N924-1),$O$5:$O$1004,0)))</f>
        <v/>
      </c>
      <c r="Q924" t="str">
        <f>IF(N924="","",IF(P924=0,SUMIFS(Calcoli!$C$7:$C$21,Calcoli!$A$7:$A$21,C924),INDEX($S$5:$S$1004,P924)))</f>
        <v/>
      </c>
      <c r="R924" t="str">
        <f>IF(N924="","",IF(P924=0,SUMIFS(Calcoli!$D$7:$D$21,Calcoli!$A$7:$A$21,C924),INDEX($T$5:$T$1004,P924)))</f>
        <v/>
      </c>
      <c r="S924" t="str">
        <f>IF(N924="","",IF(B924="Acquisto",Q924+N(D924),MAX(0,Q924-N(D924))))</f>
        <v/>
      </c>
      <c r="T924" t="str">
        <f>IF(N924="","",IF(B924="Acquisto",R924+J924+N(G924),IF(Q924&lt;=0,0,R924*(1-MIN(1,N(D924)/Q924)))))</f>
        <v/>
      </c>
      <c r="U924" t="str">
        <f>IF(B924&lt;&gt;"Vendita","",J924-N(G924)-IF(Q924&lt;=0,0,R924*MIN(1,N(D924)/Q924)))</f>
        <v/>
      </c>
      <c r="V924" t="str">
        <f>IF(B924&lt;&gt;"Dividendo","",IF(Calcoli!$B$251=1,J924,L924))</f>
        <v/>
      </c>
      <c r="W924" t="str">
        <f>IF(AND(V924&lt;&gt;"",ISNUMBER(A924)),A924,"")</f>
        <v/>
      </c>
    </row>
    <row r="925">
      <c r="A925" s="134" t="n"/>
      <c r="B925" s="116" t="n"/>
      <c r="C925" s="116" t="n"/>
      <c r="D925" s="121" t="n"/>
      <c r="E925" s="120" t="n"/>
      <c r="F925" s="120" t="n"/>
      <c r="G925" s="120" t="n"/>
      <c r="H925" s="120" t="n"/>
      <c r="I925" s="117" t="n"/>
      <c r="J925" s="123" t="str">
        <f>IF(B925="","",IF(F925&lt;&gt;"",N(F925),ROUND(N(D925)*N(E925),2)))</f>
        <v/>
      </c>
      <c r="K925" s="123" t="str">
        <f>IF(B925="","",IF(H925&lt;&gt;"",N(H925),IF(B925="Dividendo",ROUND(J925*IFERROR(INDEX(Calcoli!$V$7:$V$21,MATCH(C925,Calcoli!$A$7:$A$21,0)),0.26),2),IF(B925="Vendita",ROUND(MAX(0,U925)*IFERROR(INDEX(Calcoli!$V$7:$V$21,MATCH(C925,Calcoli!$A$7:$A$21,0)),0.26),2),0))))</f>
        <v/>
      </c>
      <c r="L925" s="135" t="str">
        <f>IF(B925="","",IF(B925="Acquisto",-(J925+N(G925)),J925-N(G925)-K925))</f>
        <v/>
      </c>
      <c r="M925" s="127" t="str">
        <f>IF(B925="","",IF(ISNA(MATCH(C925,ETF!$A$7:$A$21,0)),"ETF?",IF(NOT(ISNUMBER(A925)),"Data?",IF(AND(B925&lt;&gt;"Dividendo",N(D925)&lt;=0),"Quote?",IF(AND(B925="Vendita",N(D925)&gt;N(Q925)+0.000001),"Quote?",IF(J925&lt;=0,"Importo?","✓"))))))</f>
        <v/>
      </c>
      <c r="N925" t="str">
        <f>IF(OR(B925="Acquisto",B925="Vendita"),COUNTIFS($C$5:C925,C925,$B$5:B925,"Acquisto")+COUNTIFS($C$5:C925,C925,$B$5:B925,"Vendita"),"")</f>
        <v/>
      </c>
      <c r="O925" t="str">
        <f>IF(N925="","",C925&amp;"|"&amp;N925)</f>
        <v/>
      </c>
      <c r="P925" t="str">
        <f>IF(N925="","",IF(N925=1,0,MATCH(C925&amp;"|"&amp;(N925-1),$O$5:$O$1004,0)))</f>
        <v/>
      </c>
      <c r="Q925" t="str">
        <f>IF(N925="","",IF(P925=0,SUMIFS(Calcoli!$C$7:$C$21,Calcoli!$A$7:$A$21,C925),INDEX($S$5:$S$1004,P925)))</f>
        <v/>
      </c>
      <c r="R925" t="str">
        <f>IF(N925="","",IF(P925=0,SUMIFS(Calcoli!$D$7:$D$21,Calcoli!$A$7:$A$21,C925),INDEX($T$5:$T$1004,P925)))</f>
        <v/>
      </c>
      <c r="S925" t="str">
        <f>IF(N925="","",IF(B925="Acquisto",Q925+N(D925),MAX(0,Q925-N(D925))))</f>
        <v/>
      </c>
      <c r="T925" t="str">
        <f>IF(N925="","",IF(B925="Acquisto",R925+J925+N(G925),IF(Q925&lt;=0,0,R925*(1-MIN(1,N(D925)/Q925)))))</f>
        <v/>
      </c>
      <c r="U925" t="str">
        <f>IF(B925&lt;&gt;"Vendita","",J925-N(G925)-IF(Q925&lt;=0,0,R925*MIN(1,N(D925)/Q925)))</f>
        <v/>
      </c>
      <c r="V925" t="str">
        <f>IF(B925&lt;&gt;"Dividendo","",IF(Calcoli!$B$251=1,J925,L925))</f>
        <v/>
      </c>
      <c r="W925" t="str">
        <f>IF(AND(V925&lt;&gt;"",ISNUMBER(A925)),A925,"")</f>
        <v/>
      </c>
    </row>
    <row r="926">
      <c r="A926" s="134" t="n"/>
      <c r="B926" s="116" t="n"/>
      <c r="C926" s="116" t="n"/>
      <c r="D926" s="121" t="n"/>
      <c r="E926" s="120" t="n"/>
      <c r="F926" s="120" t="n"/>
      <c r="G926" s="120" t="n"/>
      <c r="H926" s="120" t="n"/>
      <c r="I926" s="117" t="n"/>
      <c r="J926" s="123" t="str">
        <f>IF(B926="","",IF(F926&lt;&gt;"",N(F926),ROUND(N(D926)*N(E926),2)))</f>
        <v/>
      </c>
      <c r="K926" s="123" t="str">
        <f>IF(B926="","",IF(H926&lt;&gt;"",N(H926),IF(B926="Dividendo",ROUND(J926*IFERROR(INDEX(Calcoli!$V$7:$V$21,MATCH(C926,Calcoli!$A$7:$A$21,0)),0.26),2),IF(B926="Vendita",ROUND(MAX(0,U926)*IFERROR(INDEX(Calcoli!$V$7:$V$21,MATCH(C926,Calcoli!$A$7:$A$21,0)),0.26),2),0))))</f>
        <v/>
      </c>
      <c r="L926" s="135" t="str">
        <f>IF(B926="","",IF(B926="Acquisto",-(J926+N(G926)),J926-N(G926)-K926))</f>
        <v/>
      </c>
      <c r="M926" s="127" t="str">
        <f>IF(B926="","",IF(ISNA(MATCH(C926,ETF!$A$7:$A$21,0)),"ETF?",IF(NOT(ISNUMBER(A926)),"Data?",IF(AND(B926&lt;&gt;"Dividendo",N(D926)&lt;=0),"Quote?",IF(AND(B926="Vendita",N(D926)&gt;N(Q926)+0.000001),"Quote?",IF(J926&lt;=0,"Importo?","✓"))))))</f>
        <v/>
      </c>
      <c r="N926" t="str">
        <f>IF(OR(B926="Acquisto",B926="Vendita"),COUNTIFS($C$5:C926,C926,$B$5:B926,"Acquisto")+COUNTIFS($C$5:C926,C926,$B$5:B926,"Vendita"),"")</f>
        <v/>
      </c>
      <c r="O926" t="str">
        <f>IF(N926="","",C926&amp;"|"&amp;N926)</f>
        <v/>
      </c>
      <c r="P926" t="str">
        <f>IF(N926="","",IF(N926=1,0,MATCH(C926&amp;"|"&amp;(N926-1),$O$5:$O$1004,0)))</f>
        <v/>
      </c>
      <c r="Q926" t="str">
        <f>IF(N926="","",IF(P926=0,SUMIFS(Calcoli!$C$7:$C$21,Calcoli!$A$7:$A$21,C926),INDEX($S$5:$S$1004,P926)))</f>
        <v/>
      </c>
      <c r="R926" t="str">
        <f>IF(N926="","",IF(P926=0,SUMIFS(Calcoli!$D$7:$D$21,Calcoli!$A$7:$A$21,C926),INDEX($T$5:$T$1004,P926)))</f>
        <v/>
      </c>
      <c r="S926" t="str">
        <f>IF(N926="","",IF(B926="Acquisto",Q926+N(D926),MAX(0,Q926-N(D926))))</f>
        <v/>
      </c>
      <c r="T926" t="str">
        <f>IF(N926="","",IF(B926="Acquisto",R926+J926+N(G926),IF(Q926&lt;=0,0,R926*(1-MIN(1,N(D926)/Q926)))))</f>
        <v/>
      </c>
      <c r="U926" t="str">
        <f>IF(B926&lt;&gt;"Vendita","",J926-N(G926)-IF(Q926&lt;=0,0,R926*MIN(1,N(D926)/Q926)))</f>
        <v/>
      </c>
      <c r="V926" t="str">
        <f>IF(B926&lt;&gt;"Dividendo","",IF(Calcoli!$B$251=1,J926,L926))</f>
        <v/>
      </c>
      <c r="W926" t="str">
        <f>IF(AND(V926&lt;&gt;"",ISNUMBER(A926)),A926,"")</f>
        <v/>
      </c>
    </row>
    <row r="927">
      <c r="A927" s="134" t="n"/>
      <c r="B927" s="116" t="n"/>
      <c r="C927" s="116" t="n"/>
      <c r="D927" s="121" t="n"/>
      <c r="E927" s="120" t="n"/>
      <c r="F927" s="120" t="n"/>
      <c r="G927" s="120" t="n"/>
      <c r="H927" s="120" t="n"/>
      <c r="I927" s="117" t="n"/>
      <c r="J927" s="123" t="str">
        <f>IF(B927="","",IF(F927&lt;&gt;"",N(F927),ROUND(N(D927)*N(E927),2)))</f>
        <v/>
      </c>
      <c r="K927" s="123" t="str">
        <f>IF(B927="","",IF(H927&lt;&gt;"",N(H927),IF(B927="Dividendo",ROUND(J927*IFERROR(INDEX(Calcoli!$V$7:$V$21,MATCH(C927,Calcoli!$A$7:$A$21,0)),0.26),2),IF(B927="Vendita",ROUND(MAX(0,U927)*IFERROR(INDEX(Calcoli!$V$7:$V$21,MATCH(C927,Calcoli!$A$7:$A$21,0)),0.26),2),0))))</f>
        <v/>
      </c>
      <c r="L927" s="135" t="str">
        <f>IF(B927="","",IF(B927="Acquisto",-(J927+N(G927)),J927-N(G927)-K927))</f>
        <v/>
      </c>
      <c r="M927" s="127" t="str">
        <f>IF(B927="","",IF(ISNA(MATCH(C927,ETF!$A$7:$A$21,0)),"ETF?",IF(NOT(ISNUMBER(A927)),"Data?",IF(AND(B927&lt;&gt;"Dividendo",N(D927)&lt;=0),"Quote?",IF(AND(B927="Vendita",N(D927)&gt;N(Q927)+0.000001),"Quote?",IF(J927&lt;=0,"Importo?","✓"))))))</f>
        <v/>
      </c>
      <c r="N927" t="str">
        <f>IF(OR(B927="Acquisto",B927="Vendita"),COUNTIFS($C$5:C927,C927,$B$5:B927,"Acquisto")+COUNTIFS($C$5:C927,C927,$B$5:B927,"Vendita"),"")</f>
        <v/>
      </c>
      <c r="O927" t="str">
        <f>IF(N927="","",C927&amp;"|"&amp;N927)</f>
        <v/>
      </c>
      <c r="P927" t="str">
        <f>IF(N927="","",IF(N927=1,0,MATCH(C927&amp;"|"&amp;(N927-1),$O$5:$O$1004,0)))</f>
        <v/>
      </c>
      <c r="Q927" t="str">
        <f>IF(N927="","",IF(P927=0,SUMIFS(Calcoli!$C$7:$C$21,Calcoli!$A$7:$A$21,C927),INDEX($S$5:$S$1004,P927)))</f>
        <v/>
      </c>
      <c r="R927" t="str">
        <f>IF(N927="","",IF(P927=0,SUMIFS(Calcoli!$D$7:$D$21,Calcoli!$A$7:$A$21,C927),INDEX($T$5:$T$1004,P927)))</f>
        <v/>
      </c>
      <c r="S927" t="str">
        <f>IF(N927="","",IF(B927="Acquisto",Q927+N(D927),MAX(0,Q927-N(D927))))</f>
        <v/>
      </c>
      <c r="T927" t="str">
        <f>IF(N927="","",IF(B927="Acquisto",R927+J927+N(G927),IF(Q927&lt;=0,0,R927*(1-MIN(1,N(D927)/Q927)))))</f>
        <v/>
      </c>
      <c r="U927" t="str">
        <f>IF(B927&lt;&gt;"Vendita","",J927-N(G927)-IF(Q927&lt;=0,0,R927*MIN(1,N(D927)/Q927)))</f>
        <v/>
      </c>
      <c r="V927" t="str">
        <f>IF(B927&lt;&gt;"Dividendo","",IF(Calcoli!$B$251=1,J927,L927))</f>
        <v/>
      </c>
      <c r="W927" t="str">
        <f>IF(AND(V927&lt;&gt;"",ISNUMBER(A927)),A927,"")</f>
        <v/>
      </c>
    </row>
    <row r="928">
      <c r="A928" s="134" t="n"/>
      <c r="B928" s="116" t="n"/>
      <c r="C928" s="116" t="n"/>
      <c r="D928" s="121" t="n"/>
      <c r="E928" s="120" t="n"/>
      <c r="F928" s="120" t="n"/>
      <c r="G928" s="120" t="n"/>
      <c r="H928" s="120" t="n"/>
      <c r="I928" s="117" t="n"/>
      <c r="J928" s="123" t="str">
        <f>IF(B928="","",IF(F928&lt;&gt;"",N(F928),ROUND(N(D928)*N(E928),2)))</f>
        <v/>
      </c>
      <c r="K928" s="123" t="str">
        <f>IF(B928="","",IF(H928&lt;&gt;"",N(H928),IF(B928="Dividendo",ROUND(J928*IFERROR(INDEX(Calcoli!$V$7:$V$21,MATCH(C928,Calcoli!$A$7:$A$21,0)),0.26),2),IF(B928="Vendita",ROUND(MAX(0,U928)*IFERROR(INDEX(Calcoli!$V$7:$V$21,MATCH(C928,Calcoli!$A$7:$A$21,0)),0.26),2),0))))</f>
        <v/>
      </c>
      <c r="L928" s="135" t="str">
        <f>IF(B928="","",IF(B928="Acquisto",-(J928+N(G928)),J928-N(G928)-K928))</f>
        <v/>
      </c>
      <c r="M928" s="127" t="str">
        <f>IF(B928="","",IF(ISNA(MATCH(C928,ETF!$A$7:$A$21,0)),"ETF?",IF(NOT(ISNUMBER(A928)),"Data?",IF(AND(B928&lt;&gt;"Dividendo",N(D928)&lt;=0),"Quote?",IF(AND(B928="Vendita",N(D928)&gt;N(Q928)+0.000001),"Quote?",IF(J928&lt;=0,"Importo?","✓"))))))</f>
        <v/>
      </c>
      <c r="N928" t="str">
        <f>IF(OR(B928="Acquisto",B928="Vendita"),COUNTIFS($C$5:C928,C928,$B$5:B928,"Acquisto")+COUNTIFS($C$5:C928,C928,$B$5:B928,"Vendita"),"")</f>
        <v/>
      </c>
      <c r="O928" t="str">
        <f>IF(N928="","",C928&amp;"|"&amp;N928)</f>
        <v/>
      </c>
      <c r="P928" t="str">
        <f>IF(N928="","",IF(N928=1,0,MATCH(C928&amp;"|"&amp;(N928-1),$O$5:$O$1004,0)))</f>
        <v/>
      </c>
      <c r="Q928" t="str">
        <f>IF(N928="","",IF(P928=0,SUMIFS(Calcoli!$C$7:$C$21,Calcoli!$A$7:$A$21,C928),INDEX($S$5:$S$1004,P928)))</f>
        <v/>
      </c>
      <c r="R928" t="str">
        <f>IF(N928="","",IF(P928=0,SUMIFS(Calcoli!$D$7:$D$21,Calcoli!$A$7:$A$21,C928),INDEX($T$5:$T$1004,P928)))</f>
        <v/>
      </c>
      <c r="S928" t="str">
        <f>IF(N928="","",IF(B928="Acquisto",Q928+N(D928),MAX(0,Q928-N(D928))))</f>
        <v/>
      </c>
      <c r="T928" t="str">
        <f>IF(N928="","",IF(B928="Acquisto",R928+J928+N(G928),IF(Q928&lt;=0,0,R928*(1-MIN(1,N(D928)/Q928)))))</f>
        <v/>
      </c>
      <c r="U928" t="str">
        <f>IF(B928&lt;&gt;"Vendita","",J928-N(G928)-IF(Q928&lt;=0,0,R928*MIN(1,N(D928)/Q928)))</f>
        <v/>
      </c>
      <c r="V928" t="str">
        <f>IF(B928&lt;&gt;"Dividendo","",IF(Calcoli!$B$251=1,J928,L928))</f>
        <v/>
      </c>
      <c r="W928" t="str">
        <f>IF(AND(V928&lt;&gt;"",ISNUMBER(A928)),A928,"")</f>
        <v/>
      </c>
    </row>
    <row r="929">
      <c r="A929" s="134" t="n"/>
      <c r="B929" s="116" t="n"/>
      <c r="C929" s="116" t="n"/>
      <c r="D929" s="121" t="n"/>
      <c r="E929" s="120" t="n"/>
      <c r="F929" s="120" t="n"/>
      <c r="G929" s="120" t="n"/>
      <c r="H929" s="120" t="n"/>
      <c r="I929" s="117" t="n"/>
      <c r="J929" s="123" t="str">
        <f>IF(B929="","",IF(F929&lt;&gt;"",N(F929),ROUND(N(D929)*N(E929),2)))</f>
        <v/>
      </c>
      <c r="K929" s="123" t="str">
        <f>IF(B929="","",IF(H929&lt;&gt;"",N(H929),IF(B929="Dividendo",ROUND(J929*IFERROR(INDEX(Calcoli!$V$7:$V$21,MATCH(C929,Calcoli!$A$7:$A$21,0)),0.26),2),IF(B929="Vendita",ROUND(MAX(0,U929)*IFERROR(INDEX(Calcoli!$V$7:$V$21,MATCH(C929,Calcoli!$A$7:$A$21,0)),0.26),2),0))))</f>
        <v/>
      </c>
      <c r="L929" s="135" t="str">
        <f>IF(B929="","",IF(B929="Acquisto",-(J929+N(G929)),J929-N(G929)-K929))</f>
        <v/>
      </c>
      <c r="M929" s="127" t="str">
        <f>IF(B929="","",IF(ISNA(MATCH(C929,ETF!$A$7:$A$21,0)),"ETF?",IF(NOT(ISNUMBER(A929)),"Data?",IF(AND(B929&lt;&gt;"Dividendo",N(D929)&lt;=0),"Quote?",IF(AND(B929="Vendita",N(D929)&gt;N(Q929)+0.000001),"Quote?",IF(J929&lt;=0,"Importo?","✓"))))))</f>
        <v/>
      </c>
      <c r="N929" t="str">
        <f>IF(OR(B929="Acquisto",B929="Vendita"),COUNTIFS($C$5:C929,C929,$B$5:B929,"Acquisto")+COUNTIFS($C$5:C929,C929,$B$5:B929,"Vendita"),"")</f>
        <v/>
      </c>
      <c r="O929" t="str">
        <f>IF(N929="","",C929&amp;"|"&amp;N929)</f>
        <v/>
      </c>
      <c r="P929" t="str">
        <f>IF(N929="","",IF(N929=1,0,MATCH(C929&amp;"|"&amp;(N929-1),$O$5:$O$1004,0)))</f>
        <v/>
      </c>
      <c r="Q929" t="str">
        <f>IF(N929="","",IF(P929=0,SUMIFS(Calcoli!$C$7:$C$21,Calcoli!$A$7:$A$21,C929),INDEX($S$5:$S$1004,P929)))</f>
        <v/>
      </c>
      <c r="R929" t="str">
        <f>IF(N929="","",IF(P929=0,SUMIFS(Calcoli!$D$7:$D$21,Calcoli!$A$7:$A$21,C929),INDEX($T$5:$T$1004,P929)))</f>
        <v/>
      </c>
      <c r="S929" t="str">
        <f>IF(N929="","",IF(B929="Acquisto",Q929+N(D929),MAX(0,Q929-N(D929))))</f>
        <v/>
      </c>
      <c r="T929" t="str">
        <f>IF(N929="","",IF(B929="Acquisto",R929+J929+N(G929),IF(Q929&lt;=0,0,R929*(1-MIN(1,N(D929)/Q929)))))</f>
        <v/>
      </c>
      <c r="U929" t="str">
        <f>IF(B929&lt;&gt;"Vendita","",J929-N(G929)-IF(Q929&lt;=0,0,R929*MIN(1,N(D929)/Q929)))</f>
        <v/>
      </c>
      <c r="V929" t="str">
        <f>IF(B929&lt;&gt;"Dividendo","",IF(Calcoli!$B$251=1,J929,L929))</f>
        <v/>
      </c>
      <c r="W929" t="str">
        <f>IF(AND(V929&lt;&gt;"",ISNUMBER(A929)),A929,"")</f>
        <v/>
      </c>
    </row>
    <row r="930">
      <c r="A930" s="134" t="n"/>
      <c r="B930" s="116" t="n"/>
      <c r="C930" s="116" t="n"/>
      <c r="D930" s="121" t="n"/>
      <c r="E930" s="120" t="n"/>
      <c r="F930" s="120" t="n"/>
      <c r="G930" s="120" t="n"/>
      <c r="H930" s="120" t="n"/>
      <c r="I930" s="117" t="n"/>
      <c r="J930" s="123" t="str">
        <f>IF(B930="","",IF(F930&lt;&gt;"",N(F930),ROUND(N(D930)*N(E930),2)))</f>
        <v/>
      </c>
      <c r="K930" s="123" t="str">
        <f>IF(B930="","",IF(H930&lt;&gt;"",N(H930),IF(B930="Dividendo",ROUND(J930*IFERROR(INDEX(Calcoli!$V$7:$V$21,MATCH(C930,Calcoli!$A$7:$A$21,0)),0.26),2),IF(B930="Vendita",ROUND(MAX(0,U930)*IFERROR(INDEX(Calcoli!$V$7:$V$21,MATCH(C930,Calcoli!$A$7:$A$21,0)),0.26),2),0))))</f>
        <v/>
      </c>
      <c r="L930" s="135" t="str">
        <f>IF(B930="","",IF(B930="Acquisto",-(J930+N(G930)),J930-N(G930)-K930))</f>
        <v/>
      </c>
      <c r="M930" s="127" t="str">
        <f>IF(B930="","",IF(ISNA(MATCH(C930,ETF!$A$7:$A$21,0)),"ETF?",IF(NOT(ISNUMBER(A930)),"Data?",IF(AND(B930&lt;&gt;"Dividendo",N(D930)&lt;=0),"Quote?",IF(AND(B930="Vendita",N(D930)&gt;N(Q930)+0.000001),"Quote?",IF(J930&lt;=0,"Importo?","✓"))))))</f>
        <v/>
      </c>
      <c r="N930" t="str">
        <f>IF(OR(B930="Acquisto",B930="Vendita"),COUNTIFS($C$5:C930,C930,$B$5:B930,"Acquisto")+COUNTIFS($C$5:C930,C930,$B$5:B930,"Vendita"),"")</f>
        <v/>
      </c>
      <c r="O930" t="str">
        <f>IF(N930="","",C930&amp;"|"&amp;N930)</f>
        <v/>
      </c>
      <c r="P930" t="str">
        <f>IF(N930="","",IF(N930=1,0,MATCH(C930&amp;"|"&amp;(N930-1),$O$5:$O$1004,0)))</f>
        <v/>
      </c>
      <c r="Q930" t="str">
        <f>IF(N930="","",IF(P930=0,SUMIFS(Calcoli!$C$7:$C$21,Calcoli!$A$7:$A$21,C930),INDEX($S$5:$S$1004,P930)))</f>
        <v/>
      </c>
      <c r="R930" t="str">
        <f>IF(N930="","",IF(P930=0,SUMIFS(Calcoli!$D$7:$D$21,Calcoli!$A$7:$A$21,C930),INDEX($T$5:$T$1004,P930)))</f>
        <v/>
      </c>
      <c r="S930" t="str">
        <f>IF(N930="","",IF(B930="Acquisto",Q930+N(D930),MAX(0,Q930-N(D930))))</f>
        <v/>
      </c>
      <c r="T930" t="str">
        <f>IF(N930="","",IF(B930="Acquisto",R930+J930+N(G930),IF(Q930&lt;=0,0,R930*(1-MIN(1,N(D930)/Q930)))))</f>
        <v/>
      </c>
      <c r="U930" t="str">
        <f>IF(B930&lt;&gt;"Vendita","",J930-N(G930)-IF(Q930&lt;=0,0,R930*MIN(1,N(D930)/Q930)))</f>
        <v/>
      </c>
      <c r="V930" t="str">
        <f>IF(B930&lt;&gt;"Dividendo","",IF(Calcoli!$B$251=1,J930,L930))</f>
        <v/>
      </c>
      <c r="W930" t="str">
        <f>IF(AND(V930&lt;&gt;"",ISNUMBER(A930)),A930,"")</f>
        <v/>
      </c>
    </row>
    <row r="931">
      <c r="A931" s="134" t="n"/>
      <c r="B931" s="116" t="n"/>
      <c r="C931" s="116" t="n"/>
      <c r="D931" s="121" t="n"/>
      <c r="E931" s="120" t="n"/>
      <c r="F931" s="120" t="n"/>
      <c r="G931" s="120" t="n"/>
      <c r="H931" s="120" t="n"/>
      <c r="I931" s="117" t="n"/>
      <c r="J931" s="123" t="str">
        <f>IF(B931="","",IF(F931&lt;&gt;"",N(F931),ROUND(N(D931)*N(E931),2)))</f>
        <v/>
      </c>
      <c r="K931" s="123" t="str">
        <f>IF(B931="","",IF(H931&lt;&gt;"",N(H931),IF(B931="Dividendo",ROUND(J931*IFERROR(INDEX(Calcoli!$V$7:$V$21,MATCH(C931,Calcoli!$A$7:$A$21,0)),0.26),2),IF(B931="Vendita",ROUND(MAX(0,U931)*IFERROR(INDEX(Calcoli!$V$7:$V$21,MATCH(C931,Calcoli!$A$7:$A$21,0)),0.26),2),0))))</f>
        <v/>
      </c>
      <c r="L931" s="135" t="str">
        <f>IF(B931="","",IF(B931="Acquisto",-(J931+N(G931)),J931-N(G931)-K931))</f>
        <v/>
      </c>
      <c r="M931" s="127" t="str">
        <f>IF(B931="","",IF(ISNA(MATCH(C931,ETF!$A$7:$A$21,0)),"ETF?",IF(NOT(ISNUMBER(A931)),"Data?",IF(AND(B931&lt;&gt;"Dividendo",N(D931)&lt;=0),"Quote?",IF(AND(B931="Vendita",N(D931)&gt;N(Q931)+0.000001),"Quote?",IF(J931&lt;=0,"Importo?","✓"))))))</f>
        <v/>
      </c>
      <c r="N931" t="str">
        <f>IF(OR(B931="Acquisto",B931="Vendita"),COUNTIFS($C$5:C931,C931,$B$5:B931,"Acquisto")+COUNTIFS($C$5:C931,C931,$B$5:B931,"Vendita"),"")</f>
        <v/>
      </c>
      <c r="O931" t="str">
        <f>IF(N931="","",C931&amp;"|"&amp;N931)</f>
        <v/>
      </c>
      <c r="P931" t="str">
        <f>IF(N931="","",IF(N931=1,0,MATCH(C931&amp;"|"&amp;(N931-1),$O$5:$O$1004,0)))</f>
        <v/>
      </c>
      <c r="Q931" t="str">
        <f>IF(N931="","",IF(P931=0,SUMIFS(Calcoli!$C$7:$C$21,Calcoli!$A$7:$A$21,C931),INDEX($S$5:$S$1004,P931)))</f>
        <v/>
      </c>
      <c r="R931" t="str">
        <f>IF(N931="","",IF(P931=0,SUMIFS(Calcoli!$D$7:$D$21,Calcoli!$A$7:$A$21,C931),INDEX($T$5:$T$1004,P931)))</f>
        <v/>
      </c>
      <c r="S931" t="str">
        <f>IF(N931="","",IF(B931="Acquisto",Q931+N(D931),MAX(0,Q931-N(D931))))</f>
        <v/>
      </c>
      <c r="T931" t="str">
        <f>IF(N931="","",IF(B931="Acquisto",R931+J931+N(G931),IF(Q931&lt;=0,0,R931*(1-MIN(1,N(D931)/Q931)))))</f>
        <v/>
      </c>
      <c r="U931" t="str">
        <f>IF(B931&lt;&gt;"Vendita","",J931-N(G931)-IF(Q931&lt;=0,0,R931*MIN(1,N(D931)/Q931)))</f>
        <v/>
      </c>
      <c r="V931" t="str">
        <f>IF(B931&lt;&gt;"Dividendo","",IF(Calcoli!$B$251=1,J931,L931))</f>
        <v/>
      </c>
      <c r="W931" t="str">
        <f>IF(AND(V931&lt;&gt;"",ISNUMBER(A931)),A931,"")</f>
        <v/>
      </c>
    </row>
    <row r="932">
      <c r="A932" s="134" t="n"/>
      <c r="B932" s="116" t="n"/>
      <c r="C932" s="116" t="n"/>
      <c r="D932" s="121" t="n"/>
      <c r="E932" s="120" t="n"/>
      <c r="F932" s="120" t="n"/>
      <c r="G932" s="120" t="n"/>
      <c r="H932" s="120" t="n"/>
      <c r="I932" s="117" t="n"/>
      <c r="J932" s="123" t="str">
        <f>IF(B932="","",IF(F932&lt;&gt;"",N(F932),ROUND(N(D932)*N(E932),2)))</f>
        <v/>
      </c>
      <c r="K932" s="123" t="str">
        <f>IF(B932="","",IF(H932&lt;&gt;"",N(H932),IF(B932="Dividendo",ROUND(J932*IFERROR(INDEX(Calcoli!$V$7:$V$21,MATCH(C932,Calcoli!$A$7:$A$21,0)),0.26),2),IF(B932="Vendita",ROUND(MAX(0,U932)*IFERROR(INDEX(Calcoli!$V$7:$V$21,MATCH(C932,Calcoli!$A$7:$A$21,0)),0.26),2),0))))</f>
        <v/>
      </c>
      <c r="L932" s="135" t="str">
        <f>IF(B932="","",IF(B932="Acquisto",-(J932+N(G932)),J932-N(G932)-K932))</f>
        <v/>
      </c>
      <c r="M932" s="127" t="str">
        <f>IF(B932="","",IF(ISNA(MATCH(C932,ETF!$A$7:$A$21,0)),"ETF?",IF(NOT(ISNUMBER(A932)),"Data?",IF(AND(B932&lt;&gt;"Dividendo",N(D932)&lt;=0),"Quote?",IF(AND(B932="Vendita",N(D932)&gt;N(Q932)+0.000001),"Quote?",IF(J932&lt;=0,"Importo?","✓"))))))</f>
        <v/>
      </c>
      <c r="N932" t="str">
        <f>IF(OR(B932="Acquisto",B932="Vendita"),COUNTIFS($C$5:C932,C932,$B$5:B932,"Acquisto")+COUNTIFS($C$5:C932,C932,$B$5:B932,"Vendita"),"")</f>
        <v/>
      </c>
      <c r="O932" t="str">
        <f>IF(N932="","",C932&amp;"|"&amp;N932)</f>
        <v/>
      </c>
      <c r="P932" t="str">
        <f>IF(N932="","",IF(N932=1,0,MATCH(C932&amp;"|"&amp;(N932-1),$O$5:$O$1004,0)))</f>
        <v/>
      </c>
      <c r="Q932" t="str">
        <f>IF(N932="","",IF(P932=0,SUMIFS(Calcoli!$C$7:$C$21,Calcoli!$A$7:$A$21,C932),INDEX($S$5:$S$1004,P932)))</f>
        <v/>
      </c>
      <c r="R932" t="str">
        <f>IF(N932="","",IF(P932=0,SUMIFS(Calcoli!$D$7:$D$21,Calcoli!$A$7:$A$21,C932),INDEX($T$5:$T$1004,P932)))</f>
        <v/>
      </c>
      <c r="S932" t="str">
        <f>IF(N932="","",IF(B932="Acquisto",Q932+N(D932),MAX(0,Q932-N(D932))))</f>
        <v/>
      </c>
      <c r="T932" t="str">
        <f>IF(N932="","",IF(B932="Acquisto",R932+J932+N(G932),IF(Q932&lt;=0,0,R932*(1-MIN(1,N(D932)/Q932)))))</f>
        <v/>
      </c>
      <c r="U932" t="str">
        <f>IF(B932&lt;&gt;"Vendita","",J932-N(G932)-IF(Q932&lt;=0,0,R932*MIN(1,N(D932)/Q932)))</f>
        <v/>
      </c>
      <c r="V932" t="str">
        <f>IF(B932&lt;&gt;"Dividendo","",IF(Calcoli!$B$251=1,J932,L932))</f>
        <v/>
      </c>
      <c r="W932" t="str">
        <f>IF(AND(V932&lt;&gt;"",ISNUMBER(A932)),A932,"")</f>
        <v/>
      </c>
    </row>
    <row r="933">
      <c r="A933" s="134" t="n"/>
      <c r="B933" s="116" t="n"/>
      <c r="C933" s="116" t="n"/>
      <c r="D933" s="121" t="n"/>
      <c r="E933" s="120" t="n"/>
      <c r="F933" s="120" t="n"/>
      <c r="G933" s="120" t="n"/>
      <c r="H933" s="120" t="n"/>
      <c r="I933" s="117" t="n"/>
      <c r="J933" s="123" t="str">
        <f>IF(B933="","",IF(F933&lt;&gt;"",N(F933),ROUND(N(D933)*N(E933),2)))</f>
        <v/>
      </c>
      <c r="K933" s="123" t="str">
        <f>IF(B933="","",IF(H933&lt;&gt;"",N(H933),IF(B933="Dividendo",ROUND(J933*IFERROR(INDEX(Calcoli!$V$7:$V$21,MATCH(C933,Calcoli!$A$7:$A$21,0)),0.26),2),IF(B933="Vendita",ROUND(MAX(0,U933)*IFERROR(INDEX(Calcoli!$V$7:$V$21,MATCH(C933,Calcoli!$A$7:$A$21,0)),0.26),2),0))))</f>
        <v/>
      </c>
      <c r="L933" s="135" t="str">
        <f>IF(B933="","",IF(B933="Acquisto",-(J933+N(G933)),J933-N(G933)-K933))</f>
        <v/>
      </c>
      <c r="M933" s="127" t="str">
        <f>IF(B933="","",IF(ISNA(MATCH(C933,ETF!$A$7:$A$21,0)),"ETF?",IF(NOT(ISNUMBER(A933)),"Data?",IF(AND(B933&lt;&gt;"Dividendo",N(D933)&lt;=0),"Quote?",IF(AND(B933="Vendita",N(D933)&gt;N(Q933)+0.000001),"Quote?",IF(J933&lt;=0,"Importo?","✓"))))))</f>
        <v/>
      </c>
      <c r="N933" t="str">
        <f>IF(OR(B933="Acquisto",B933="Vendita"),COUNTIFS($C$5:C933,C933,$B$5:B933,"Acquisto")+COUNTIFS($C$5:C933,C933,$B$5:B933,"Vendita"),"")</f>
        <v/>
      </c>
      <c r="O933" t="str">
        <f>IF(N933="","",C933&amp;"|"&amp;N933)</f>
        <v/>
      </c>
      <c r="P933" t="str">
        <f>IF(N933="","",IF(N933=1,0,MATCH(C933&amp;"|"&amp;(N933-1),$O$5:$O$1004,0)))</f>
        <v/>
      </c>
      <c r="Q933" t="str">
        <f>IF(N933="","",IF(P933=0,SUMIFS(Calcoli!$C$7:$C$21,Calcoli!$A$7:$A$21,C933),INDEX($S$5:$S$1004,P933)))</f>
        <v/>
      </c>
      <c r="R933" t="str">
        <f>IF(N933="","",IF(P933=0,SUMIFS(Calcoli!$D$7:$D$21,Calcoli!$A$7:$A$21,C933),INDEX($T$5:$T$1004,P933)))</f>
        <v/>
      </c>
      <c r="S933" t="str">
        <f>IF(N933="","",IF(B933="Acquisto",Q933+N(D933),MAX(0,Q933-N(D933))))</f>
        <v/>
      </c>
      <c r="T933" t="str">
        <f>IF(N933="","",IF(B933="Acquisto",R933+J933+N(G933),IF(Q933&lt;=0,0,R933*(1-MIN(1,N(D933)/Q933)))))</f>
        <v/>
      </c>
      <c r="U933" t="str">
        <f>IF(B933&lt;&gt;"Vendita","",J933-N(G933)-IF(Q933&lt;=0,0,R933*MIN(1,N(D933)/Q933)))</f>
        <v/>
      </c>
      <c r="V933" t="str">
        <f>IF(B933&lt;&gt;"Dividendo","",IF(Calcoli!$B$251=1,J933,L933))</f>
        <v/>
      </c>
      <c r="W933" t="str">
        <f>IF(AND(V933&lt;&gt;"",ISNUMBER(A933)),A933,"")</f>
        <v/>
      </c>
    </row>
    <row r="934">
      <c r="A934" s="134" t="n"/>
      <c r="B934" s="116" t="n"/>
      <c r="C934" s="116" t="n"/>
      <c r="D934" s="121" t="n"/>
      <c r="E934" s="120" t="n"/>
      <c r="F934" s="120" t="n"/>
      <c r="G934" s="120" t="n"/>
      <c r="H934" s="120" t="n"/>
      <c r="I934" s="117" t="n"/>
      <c r="J934" s="123" t="str">
        <f>IF(B934="","",IF(F934&lt;&gt;"",N(F934),ROUND(N(D934)*N(E934),2)))</f>
        <v/>
      </c>
      <c r="K934" s="123" t="str">
        <f>IF(B934="","",IF(H934&lt;&gt;"",N(H934),IF(B934="Dividendo",ROUND(J934*IFERROR(INDEX(Calcoli!$V$7:$V$21,MATCH(C934,Calcoli!$A$7:$A$21,0)),0.26),2),IF(B934="Vendita",ROUND(MAX(0,U934)*IFERROR(INDEX(Calcoli!$V$7:$V$21,MATCH(C934,Calcoli!$A$7:$A$21,0)),0.26),2),0))))</f>
        <v/>
      </c>
      <c r="L934" s="135" t="str">
        <f>IF(B934="","",IF(B934="Acquisto",-(J934+N(G934)),J934-N(G934)-K934))</f>
        <v/>
      </c>
      <c r="M934" s="127" t="str">
        <f>IF(B934="","",IF(ISNA(MATCH(C934,ETF!$A$7:$A$21,0)),"ETF?",IF(NOT(ISNUMBER(A934)),"Data?",IF(AND(B934&lt;&gt;"Dividendo",N(D934)&lt;=0),"Quote?",IF(AND(B934="Vendita",N(D934)&gt;N(Q934)+0.000001),"Quote?",IF(J934&lt;=0,"Importo?","✓"))))))</f>
        <v/>
      </c>
      <c r="N934" t="str">
        <f>IF(OR(B934="Acquisto",B934="Vendita"),COUNTIFS($C$5:C934,C934,$B$5:B934,"Acquisto")+COUNTIFS($C$5:C934,C934,$B$5:B934,"Vendita"),"")</f>
        <v/>
      </c>
      <c r="O934" t="str">
        <f>IF(N934="","",C934&amp;"|"&amp;N934)</f>
        <v/>
      </c>
      <c r="P934" t="str">
        <f>IF(N934="","",IF(N934=1,0,MATCH(C934&amp;"|"&amp;(N934-1),$O$5:$O$1004,0)))</f>
        <v/>
      </c>
      <c r="Q934" t="str">
        <f>IF(N934="","",IF(P934=0,SUMIFS(Calcoli!$C$7:$C$21,Calcoli!$A$7:$A$21,C934),INDEX($S$5:$S$1004,P934)))</f>
        <v/>
      </c>
      <c r="R934" t="str">
        <f>IF(N934="","",IF(P934=0,SUMIFS(Calcoli!$D$7:$D$21,Calcoli!$A$7:$A$21,C934),INDEX($T$5:$T$1004,P934)))</f>
        <v/>
      </c>
      <c r="S934" t="str">
        <f>IF(N934="","",IF(B934="Acquisto",Q934+N(D934),MAX(0,Q934-N(D934))))</f>
        <v/>
      </c>
      <c r="T934" t="str">
        <f>IF(N934="","",IF(B934="Acquisto",R934+J934+N(G934),IF(Q934&lt;=0,0,R934*(1-MIN(1,N(D934)/Q934)))))</f>
        <v/>
      </c>
      <c r="U934" t="str">
        <f>IF(B934&lt;&gt;"Vendita","",J934-N(G934)-IF(Q934&lt;=0,0,R934*MIN(1,N(D934)/Q934)))</f>
        <v/>
      </c>
      <c r="V934" t="str">
        <f>IF(B934&lt;&gt;"Dividendo","",IF(Calcoli!$B$251=1,J934,L934))</f>
        <v/>
      </c>
      <c r="W934" t="str">
        <f>IF(AND(V934&lt;&gt;"",ISNUMBER(A934)),A934,"")</f>
        <v/>
      </c>
    </row>
    <row r="935">
      <c r="A935" s="134" t="n"/>
      <c r="B935" s="116" t="n"/>
      <c r="C935" s="116" t="n"/>
      <c r="D935" s="121" t="n"/>
      <c r="E935" s="120" t="n"/>
      <c r="F935" s="120" t="n"/>
      <c r="G935" s="120" t="n"/>
      <c r="H935" s="120" t="n"/>
      <c r="I935" s="117" t="n"/>
      <c r="J935" s="123" t="str">
        <f>IF(B935="","",IF(F935&lt;&gt;"",N(F935),ROUND(N(D935)*N(E935),2)))</f>
        <v/>
      </c>
      <c r="K935" s="123" t="str">
        <f>IF(B935="","",IF(H935&lt;&gt;"",N(H935),IF(B935="Dividendo",ROUND(J935*IFERROR(INDEX(Calcoli!$V$7:$V$21,MATCH(C935,Calcoli!$A$7:$A$21,0)),0.26),2),IF(B935="Vendita",ROUND(MAX(0,U935)*IFERROR(INDEX(Calcoli!$V$7:$V$21,MATCH(C935,Calcoli!$A$7:$A$21,0)),0.26),2),0))))</f>
        <v/>
      </c>
      <c r="L935" s="135" t="str">
        <f>IF(B935="","",IF(B935="Acquisto",-(J935+N(G935)),J935-N(G935)-K935))</f>
        <v/>
      </c>
      <c r="M935" s="127" t="str">
        <f>IF(B935="","",IF(ISNA(MATCH(C935,ETF!$A$7:$A$21,0)),"ETF?",IF(NOT(ISNUMBER(A935)),"Data?",IF(AND(B935&lt;&gt;"Dividendo",N(D935)&lt;=0),"Quote?",IF(AND(B935="Vendita",N(D935)&gt;N(Q935)+0.000001),"Quote?",IF(J935&lt;=0,"Importo?","✓"))))))</f>
        <v/>
      </c>
      <c r="N935" t="str">
        <f>IF(OR(B935="Acquisto",B935="Vendita"),COUNTIFS($C$5:C935,C935,$B$5:B935,"Acquisto")+COUNTIFS($C$5:C935,C935,$B$5:B935,"Vendita"),"")</f>
        <v/>
      </c>
      <c r="O935" t="str">
        <f>IF(N935="","",C935&amp;"|"&amp;N935)</f>
        <v/>
      </c>
      <c r="P935" t="str">
        <f>IF(N935="","",IF(N935=1,0,MATCH(C935&amp;"|"&amp;(N935-1),$O$5:$O$1004,0)))</f>
        <v/>
      </c>
      <c r="Q935" t="str">
        <f>IF(N935="","",IF(P935=0,SUMIFS(Calcoli!$C$7:$C$21,Calcoli!$A$7:$A$21,C935),INDEX($S$5:$S$1004,P935)))</f>
        <v/>
      </c>
      <c r="R935" t="str">
        <f>IF(N935="","",IF(P935=0,SUMIFS(Calcoli!$D$7:$D$21,Calcoli!$A$7:$A$21,C935),INDEX($T$5:$T$1004,P935)))</f>
        <v/>
      </c>
      <c r="S935" t="str">
        <f>IF(N935="","",IF(B935="Acquisto",Q935+N(D935),MAX(0,Q935-N(D935))))</f>
        <v/>
      </c>
      <c r="T935" t="str">
        <f>IF(N935="","",IF(B935="Acquisto",R935+J935+N(G935),IF(Q935&lt;=0,0,R935*(1-MIN(1,N(D935)/Q935)))))</f>
        <v/>
      </c>
      <c r="U935" t="str">
        <f>IF(B935&lt;&gt;"Vendita","",J935-N(G935)-IF(Q935&lt;=0,0,R935*MIN(1,N(D935)/Q935)))</f>
        <v/>
      </c>
      <c r="V935" t="str">
        <f>IF(B935&lt;&gt;"Dividendo","",IF(Calcoli!$B$251=1,J935,L935))</f>
        <v/>
      </c>
      <c r="W935" t="str">
        <f>IF(AND(V935&lt;&gt;"",ISNUMBER(A935)),A935,"")</f>
        <v/>
      </c>
    </row>
    <row r="936">
      <c r="A936" s="134" t="n"/>
      <c r="B936" s="116" t="n"/>
      <c r="C936" s="116" t="n"/>
      <c r="D936" s="121" t="n"/>
      <c r="E936" s="120" t="n"/>
      <c r="F936" s="120" t="n"/>
      <c r="G936" s="120" t="n"/>
      <c r="H936" s="120" t="n"/>
      <c r="I936" s="117" t="n"/>
      <c r="J936" s="123" t="str">
        <f>IF(B936="","",IF(F936&lt;&gt;"",N(F936),ROUND(N(D936)*N(E936),2)))</f>
        <v/>
      </c>
      <c r="K936" s="123" t="str">
        <f>IF(B936="","",IF(H936&lt;&gt;"",N(H936),IF(B936="Dividendo",ROUND(J936*IFERROR(INDEX(Calcoli!$V$7:$V$21,MATCH(C936,Calcoli!$A$7:$A$21,0)),0.26),2),IF(B936="Vendita",ROUND(MAX(0,U936)*IFERROR(INDEX(Calcoli!$V$7:$V$21,MATCH(C936,Calcoli!$A$7:$A$21,0)),0.26),2),0))))</f>
        <v/>
      </c>
      <c r="L936" s="135" t="str">
        <f>IF(B936="","",IF(B936="Acquisto",-(J936+N(G936)),J936-N(G936)-K936))</f>
        <v/>
      </c>
      <c r="M936" s="127" t="str">
        <f>IF(B936="","",IF(ISNA(MATCH(C936,ETF!$A$7:$A$21,0)),"ETF?",IF(NOT(ISNUMBER(A936)),"Data?",IF(AND(B936&lt;&gt;"Dividendo",N(D936)&lt;=0),"Quote?",IF(AND(B936="Vendita",N(D936)&gt;N(Q936)+0.000001),"Quote?",IF(J936&lt;=0,"Importo?","✓"))))))</f>
        <v/>
      </c>
      <c r="N936" t="str">
        <f>IF(OR(B936="Acquisto",B936="Vendita"),COUNTIFS($C$5:C936,C936,$B$5:B936,"Acquisto")+COUNTIFS($C$5:C936,C936,$B$5:B936,"Vendita"),"")</f>
        <v/>
      </c>
      <c r="O936" t="str">
        <f>IF(N936="","",C936&amp;"|"&amp;N936)</f>
        <v/>
      </c>
      <c r="P936" t="str">
        <f>IF(N936="","",IF(N936=1,0,MATCH(C936&amp;"|"&amp;(N936-1),$O$5:$O$1004,0)))</f>
        <v/>
      </c>
      <c r="Q936" t="str">
        <f>IF(N936="","",IF(P936=0,SUMIFS(Calcoli!$C$7:$C$21,Calcoli!$A$7:$A$21,C936),INDEX($S$5:$S$1004,P936)))</f>
        <v/>
      </c>
      <c r="R936" t="str">
        <f>IF(N936="","",IF(P936=0,SUMIFS(Calcoli!$D$7:$D$21,Calcoli!$A$7:$A$21,C936),INDEX($T$5:$T$1004,P936)))</f>
        <v/>
      </c>
      <c r="S936" t="str">
        <f>IF(N936="","",IF(B936="Acquisto",Q936+N(D936),MAX(0,Q936-N(D936))))</f>
        <v/>
      </c>
      <c r="T936" t="str">
        <f>IF(N936="","",IF(B936="Acquisto",R936+J936+N(G936),IF(Q936&lt;=0,0,R936*(1-MIN(1,N(D936)/Q936)))))</f>
        <v/>
      </c>
      <c r="U936" t="str">
        <f>IF(B936&lt;&gt;"Vendita","",J936-N(G936)-IF(Q936&lt;=0,0,R936*MIN(1,N(D936)/Q936)))</f>
        <v/>
      </c>
      <c r="V936" t="str">
        <f>IF(B936&lt;&gt;"Dividendo","",IF(Calcoli!$B$251=1,J936,L936))</f>
        <v/>
      </c>
      <c r="W936" t="str">
        <f>IF(AND(V936&lt;&gt;"",ISNUMBER(A936)),A936,"")</f>
        <v/>
      </c>
    </row>
    <row r="937">
      <c r="A937" s="134" t="n"/>
      <c r="B937" s="116" t="n"/>
      <c r="C937" s="116" t="n"/>
      <c r="D937" s="121" t="n"/>
      <c r="E937" s="120" t="n"/>
      <c r="F937" s="120" t="n"/>
      <c r="G937" s="120" t="n"/>
      <c r="H937" s="120" t="n"/>
      <c r="I937" s="117" t="n"/>
      <c r="J937" s="123" t="str">
        <f>IF(B937="","",IF(F937&lt;&gt;"",N(F937),ROUND(N(D937)*N(E937),2)))</f>
        <v/>
      </c>
      <c r="K937" s="123" t="str">
        <f>IF(B937="","",IF(H937&lt;&gt;"",N(H937),IF(B937="Dividendo",ROUND(J937*IFERROR(INDEX(Calcoli!$V$7:$V$21,MATCH(C937,Calcoli!$A$7:$A$21,0)),0.26),2),IF(B937="Vendita",ROUND(MAX(0,U937)*IFERROR(INDEX(Calcoli!$V$7:$V$21,MATCH(C937,Calcoli!$A$7:$A$21,0)),0.26),2),0))))</f>
        <v/>
      </c>
      <c r="L937" s="135" t="str">
        <f>IF(B937="","",IF(B937="Acquisto",-(J937+N(G937)),J937-N(G937)-K937))</f>
        <v/>
      </c>
      <c r="M937" s="127" t="str">
        <f>IF(B937="","",IF(ISNA(MATCH(C937,ETF!$A$7:$A$21,0)),"ETF?",IF(NOT(ISNUMBER(A937)),"Data?",IF(AND(B937&lt;&gt;"Dividendo",N(D937)&lt;=0),"Quote?",IF(AND(B937="Vendita",N(D937)&gt;N(Q937)+0.000001),"Quote?",IF(J937&lt;=0,"Importo?","✓"))))))</f>
        <v/>
      </c>
      <c r="N937" t="str">
        <f>IF(OR(B937="Acquisto",B937="Vendita"),COUNTIFS($C$5:C937,C937,$B$5:B937,"Acquisto")+COUNTIFS($C$5:C937,C937,$B$5:B937,"Vendita"),"")</f>
        <v/>
      </c>
      <c r="O937" t="str">
        <f>IF(N937="","",C937&amp;"|"&amp;N937)</f>
        <v/>
      </c>
      <c r="P937" t="str">
        <f>IF(N937="","",IF(N937=1,0,MATCH(C937&amp;"|"&amp;(N937-1),$O$5:$O$1004,0)))</f>
        <v/>
      </c>
      <c r="Q937" t="str">
        <f>IF(N937="","",IF(P937=0,SUMIFS(Calcoli!$C$7:$C$21,Calcoli!$A$7:$A$21,C937),INDEX($S$5:$S$1004,P937)))</f>
        <v/>
      </c>
      <c r="R937" t="str">
        <f>IF(N937="","",IF(P937=0,SUMIFS(Calcoli!$D$7:$D$21,Calcoli!$A$7:$A$21,C937),INDEX($T$5:$T$1004,P937)))</f>
        <v/>
      </c>
      <c r="S937" t="str">
        <f>IF(N937="","",IF(B937="Acquisto",Q937+N(D937),MAX(0,Q937-N(D937))))</f>
        <v/>
      </c>
      <c r="T937" t="str">
        <f>IF(N937="","",IF(B937="Acquisto",R937+J937+N(G937),IF(Q937&lt;=0,0,R937*(1-MIN(1,N(D937)/Q937)))))</f>
        <v/>
      </c>
      <c r="U937" t="str">
        <f>IF(B937&lt;&gt;"Vendita","",J937-N(G937)-IF(Q937&lt;=0,0,R937*MIN(1,N(D937)/Q937)))</f>
        <v/>
      </c>
      <c r="V937" t="str">
        <f>IF(B937&lt;&gt;"Dividendo","",IF(Calcoli!$B$251=1,J937,L937))</f>
        <v/>
      </c>
      <c r="W937" t="str">
        <f>IF(AND(V937&lt;&gt;"",ISNUMBER(A937)),A937,"")</f>
        <v/>
      </c>
    </row>
    <row r="938">
      <c r="A938" s="134" t="n"/>
      <c r="B938" s="116" t="n"/>
      <c r="C938" s="116" t="n"/>
      <c r="D938" s="121" t="n"/>
      <c r="E938" s="120" t="n"/>
      <c r="F938" s="120" t="n"/>
      <c r="G938" s="120" t="n"/>
      <c r="H938" s="120" t="n"/>
      <c r="I938" s="117" t="n"/>
      <c r="J938" s="123" t="str">
        <f>IF(B938="","",IF(F938&lt;&gt;"",N(F938),ROUND(N(D938)*N(E938),2)))</f>
        <v/>
      </c>
      <c r="K938" s="123" t="str">
        <f>IF(B938="","",IF(H938&lt;&gt;"",N(H938),IF(B938="Dividendo",ROUND(J938*IFERROR(INDEX(Calcoli!$V$7:$V$21,MATCH(C938,Calcoli!$A$7:$A$21,0)),0.26),2),IF(B938="Vendita",ROUND(MAX(0,U938)*IFERROR(INDEX(Calcoli!$V$7:$V$21,MATCH(C938,Calcoli!$A$7:$A$21,0)),0.26),2),0))))</f>
        <v/>
      </c>
      <c r="L938" s="135" t="str">
        <f>IF(B938="","",IF(B938="Acquisto",-(J938+N(G938)),J938-N(G938)-K938))</f>
        <v/>
      </c>
      <c r="M938" s="127" t="str">
        <f>IF(B938="","",IF(ISNA(MATCH(C938,ETF!$A$7:$A$21,0)),"ETF?",IF(NOT(ISNUMBER(A938)),"Data?",IF(AND(B938&lt;&gt;"Dividendo",N(D938)&lt;=0),"Quote?",IF(AND(B938="Vendita",N(D938)&gt;N(Q938)+0.000001),"Quote?",IF(J938&lt;=0,"Importo?","✓"))))))</f>
        <v/>
      </c>
      <c r="N938" t="str">
        <f>IF(OR(B938="Acquisto",B938="Vendita"),COUNTIFS($C$5:C938,C938,$B$5:B938,"Acquisto")+COUNTIFS($C$5:C938,C938,$B$5:B938,"Vendita"),"")</f>
        <v/>
      </c>
      <c r="O938" t="str">
        <f>IF(N938="","",C938&amp;"|"&amp;N938)</f>
        <v/>
      </c>
      <c r="P938" t="str">
        <f>IF(N938="","",IF(N938=1,0,MATCH(C938&amp;"|"&amp;(N938-1),$O$5:$O$1004,0)))</f>
        <v/>
      </c>
      <c r="Q938" t="str">
        <f>IF(N938="","",IF(P938=0,SUMIFS(Calcoli!$C$7:$C$21,Calcoli!$A$7:$A$21,C938),INDEX($S$5:$S$1004,P938)))</f>
        <v/>
      </c>
      <c r="R938" t="str">
        <f>IF(N938="","",IF(P938=0,SUMIFS(Calcoli!$D$7:$D$21,Calcoli!$A$7:$A$21,C938),INDEX($T$5:$T$1004,P938)))</f>
        <v/>
      </c>
      <c r="S938" t="str">
        <f>IF(N938="","",IF(B938="Acquisto",Q938+N(D938),MAX(0,Q938-N(D938))))</f>
        <v/>
      </c>
      <c r="T938" t="str">
        <f>IF(N938="","",IF(B938="Acquisto",R938+J938+N(G938),IF(Q938&lt;=0,0,R938*(1-MIN(1,N(D938)/Q938)))))</f>
        <v/>
      </c>
      <c r="U938" t="str">
        <f>IF(B938&lt;&gt;"Vendita","",J938-N(G938)-IF(Q938&lt;=0,0,R938*MIN(1,N(D938)/Q938)))</f>
        <v/>
      </c>
      <c r="V938" t="str">
        <f>IF(B938&lt;&gt;"Dividendo","",IF(Calcoli!$B$251=1,J938,L938))</f>
        <v/>
      </c>
      <c r="W938" t="str">
        <f>IF(AND(V938&lt;&gt;"",ISNUMBER(A938)),A938,"")</f>
        <v/>
      </c>
    </row>
    <row r="939">
      <c r="A939" s="134" t="n"/>
      <c r="B939" s="116" t="n"/>
      <c r="C939" s="116" t="n"/>
      <c r="D939" s="121" t="n"/>
      <c r="E939" s="120" t="n"/>
      <c r="F939" s="120" t="n"/>
      <c r="G939" s="120" t="n"/>
      <c r="H939" s="120" t="n"/>
      <c r="I939" s="117" t="n"/>
      <c r="J939" s="123" t="str">
        <f>IF(B939="","",IF(F939&lt;&gt;"",N(F939),ROUND(N(D939)*N(E939),2)))</f>
        <v/>
      </c>
      <c r="K939" s="123" t="str">
        <f>IF(B939="","",IF(H939&lt;&gt;"",N(H939),IF(B939="Dividendo",ROUND(J939*IFERROR(INDEX(Calcoli!$V$7:$V$21,MATCH(C939,Calcoli!$A$7:$A$21,0)),0.26),2),IF(B939="Vendita",ROUND(MAX(0,U939)*IFERROR(INDEX(Calcoli!$V$7:$V$21,MATCH(C939,Calcoli!$A$7:$A$21,0)),0.26),2),0))))</f>
        <v/>
      </c>
      <c r="L939" s="135" t="str">
        <f>IF(B939="","",IF(B939="Acquisto",-(J939+N(G939)),J939-N(G939)-K939))</f>
        <v/>
      </c>
      <c r="M939" s="127" t="str">
        <f>IF(B939="","",IF(ISNA(MATCH(C939,ETF!$A$7:$A$21,0)),"ETF?",IF(NOT(ISNUMBER(A939)),"Data?",IF(AND(B939&lt;&gt;"Dividendo",N(D939)&lt;=0),"Quote?",IF(AND(B939="Vendita",N(D939)&gt;N(Q939)+0.000001),"Quote?",IF(J939&lt;=0,"Importo?","✓"))))))</f>
        <v/>
      </c>
      <c r="N939" t="str">
        <f>IF(OR(B939="Acquisto",B939="Vendita"),COUNTIFS($C$5:C939,C939,$B$5:B939,"Acquisto")+COUNTIFS($C$5:C939,C939,$B$5:B939,"Vendita"),"")</f>
        <v/>
      </c>
      <c r="O939" t="str">
        <f>IF(N939="","",C939&amp;"|"&amp;N939)</f>
        <v/>
      </c>
      <c r="P939" t="str">
        <f>IF(N939="","",IF(N939=1,0,MATCH(C939&amp;"|"&amp;(N939-1),$O$5:$O$1004,0)))</f>
        <v/>
      </c>
      <c r="Q939" t="str">
        <f>IF(N939="","",IF(P939=0,SUMIFS(Calcoli!$C$7:$C$21,Calcoli!$A$7:$A$21,C939),INDEX($S$5:$S$1004,P939)))</f>
        <v/>
      </c>
      <c r="R939" t="str">
        <f>IF(N939="","",IF(P939=0,SUMIFS(Calcoli!$D$7:$D$21,Calcoli!$A$7:$A$21,C939),INDEX($T$5:$T$1004,P939)))</f>
        <v/>
      </c>
      <c r="S939" t="str">
        <f>IF(N939="","",IF(B939="Acquisto",Q939+N(D939),MAX(0,Q939-N(D939))))</f>
        <v/>
      </c>
      <c r="T939" t="str">
        <f>IF(N939="","",IF(B939="Acquisto",R939+J939+N(G939),IF(Q939&lt;=0,0,R939*(1-MIN(1,N(D939)/Q939)))))</f>
        <v/>
      </c>
      <c r="U939" t="str">
        <f>IF(B939&lt;&gt;"Vendita","",J939-N(G939)-IF(Q939&lt;=0,0,R939*MIN(1,N(D939)/Q939)))</f>
        <v/>
      </c>
      <c r="V939" t="str">
        <f>IF(B939&lt;&gt;"Dividendo","",IF(Calcoli!$B$251=1,J939,L939))</f>
        <v/>
      </c>
      <c r="W939" t="str">
        <f>IF(AND(V939&lt;&gt;"",ISNUMBER(A939)),A939,"")</f>
        <v/>
      </c>
    </row>
    <row r="940">
      <c r="A940" s="134" t="n"/>
      <c r="B940" s="116" t="n"/>
      <c r="C940" s="116" t="n"/>
      <c r="D940" s="121" t="n"/>
      <c r="E940" s="120" t="n"/>
      <c r="F940" s="120" t="n"/>
      <c r="G940" s="120" t="n"/>
      <c r="H940" s="120" t="n"/>
      <c r="I940" s="117" t="n"/>
      <c r="J940" s="123" t="str">
        <f>IF(B940="","",IF(F940&lt;&gt;"",N(F940),ROUND(N(D940)*N(E940),2)))</f>
        <v/>
      </c>
      <c r="K940" s="123" t="str">
        <f>IF(B940="","",IF(H940&lt;&gt;"",N(H940),IF(B940="Dividendo",ROUND(J940*IFERROR(INDEX(Calcoli!$V$7:$V$21,MATCH(C940,Calcoli!$A$7:$A$21,0)),0.26),2),IF(B940="Vendita",ROUND(MAX(0,U940)*IFERROR(INDEX(Calcoli!$V$7:$V$21,MATCH(C940,Calcoli!$A$7:$A$21,0)),0.26),2),0))))</f>
        <v/>
      </c>
      <c r="L940" s="135" t="str">
        <f>IF(B940="","",IF(B940="Acquisto",-(J940+N(G940)),J940-N(G940)-K940))</f>
        <v/>
      </c>
      <c r="M940" s="127" t="str">
        <f>IF(B940="","",IF(ISNA(MATCH(C940,ETF!$A$7:$A$21,0)),"ETF?",IF(NOT(ISNUMBER(A940)),"Data?",IF(AND(B940&lt;&gt;"Dividendo",N(D940)&lt;=0),"Quote?",IF(AND(B940="Vendita",N(D940)&gt;N(Q940)+0.000001),"Quote?",IF(J940&lt;=0,"Importo?","✓"))))))</f>
        <v/>
      </c>
      <c r="N940" t="str">
        <f>IF(OR(B940="Acquisto",B940="Vendita"),COUNTIFS($C$5:C940,C940,$B$5:B940,"Acquisto")+COUNTIFS($C$5:C940,C940,$B$5:B940,"Vendita"),"")</f>
        <v/>
      </c>
      <c r="O940" t="str">
        <f>IF(N940="","",C940&amp;"|"&amp;N940)</f>
        <v/>
      </c>
      <c r="P940" t="str">
        <f>IF(N940="","",IF(N940=1,0,MATCH(C940&amp;"|"&amp;(N940-1),$O$5:$O$1004,0)))</f>
        <v/>
      </c>
      <c r="Q940" t="str">
        <f>IF(N940="","",IF(P940=0,SUMIFS(Calcoli!$C$7:$C$21,Calcoli!$A$7:$A$21,C940),INDEX($S$5:$S$1004,P940)))</f>
        <v/>
      </c>
      <c r="R940" t="str">
        <f>IF(N940="","",IF(P940=0,SUMIFS(Calcoli!$D$7:$D$21,Calcoli!$A$7:$A$21,C940),INDEX($T$5:$T$1004,P940)))</f>
        <v/>
      </c>
      <c r="S940" t="str">
        <f>IF(N940="","",IF(B940="Acquisto",Q940+N(D940),MAX(0,Q940-N(D940))))</f>
        <v/>
      </c>
      <c r="T940" t="str">
        <f>IF(N940="","",IF(B940="Acquisto",R940+J940+N(G940),IF(Q940&lt;=0,0,R940*(1-MIN(1,N(D940)/Q940)))))</f>
        <v/>
      </c>
      <c r="U940" t="str">
        <f>IF(B940&lt;&gt;"Vendita","",J940-N(G940)-IF(Q940&lt;=0,0,R940*MIN(1,N(D940)/Q940)))</f>
        <v/>
      </c>
      <c r="V940" t="str">
        <f>IF(B940&lt;&gt;"Dividendo","",IF(Calcoli!$B$251=1,J940,L940))</f>
        <v/>
      </c>
      <c r="W940" t="str">
        <f>IF(AND(V940&lt;&gt;"",ISNUMBER(A940)),A940,"")</f>
        <v/>
      </c>
    </row>
    <row r="941">
      <c r="A941" s="134" t="n"/>
      <c r="B941" s="116" t="n"/>
      <c r="C941" s="116" t="n"/>
      <c r="D941" s="121" t="n"/>
      <c r="E941" s="120" t="n"/>
      <c r="F941" s="120" t="n"/>
      <c r="G941" s="120" t="n"/>
      <c r="H941" s="120" t="n"/>
      <c r="I941" s="117" t="n"/>
      <c r="J941" s="123" t="str">
        <f>IF(B941="","",IF(F941&lt;&gt;"",N(F941),ROUND(N(D941)*N(E941),2)))</f>
        <v/>
      </c>
      <c r="K941" s="123" t="str">
        <f>IF(B941="","",IF(H941&lt;&gt;"",N(H941),IF(B941="Dividendo",ROUND(J941*IFERROR(INDEX(Calcoli!$V$7:$V$21,MATCH(C941,Calcoli!$A$7:$A$21,0)),0.26),2),IF(B941="Vendita",ROUND(MAX(0,U941)*IFERROR(INDEX(Calcoli!$V$7:$V$21,MATCH(C941,Calcoli!$A$7:$A$21,0)),0.26),2),0))))</f>
        <v/>
      </c>
      <c r="L941" s="135" t="str">
        <f>IF(B941="","",IF(B941="Acquisto",-(J941+N(G941)),J941-N(G941)-K941))</f>
        <v/>
      </c>
      <c r="M941" s="127" t="str">
        <f>IF(B941="","",IF(ISNA(MATCH(C941,ETF!$A$7:$A$21,0)),"ETF?",IF(NOT(ISNUMBER(A941)),"Data?",IF(AND(B941&lt;&gt;"Dividendo",N(D941)&lt;=0),"Quote?",IF(AND(B941="Vendita",N(D941)&gt;N(Q941)+0.000001),"Quote?",IF(J941&lt;=0,"Importo?","✓"))))))</f>
        <v/>
      </c>
      <c r="N941" t="str">
        <f>IF(OR(B941="Acquisto",B941="Vendita"),COUNTIFS($C$5:C941,C941,$B$5:B941,"Acquisto")+COUNTIFS($C$5:C941,C941,$B$5:B941,"Vendita"),"")</f>
        <v/>
      </c>
      <c r="O941" t="str">
        <f>IF(N941="","",C941&amp;"|"&amp;N941)</f>
        <v/>
      </c>
      <c r="P941" t="str">
        <f>IF(N941="","",IF(N941=1,0,MATCH(C941&amp;"|"&amp;(N941-1),$O$5:$O$1004,0)))</f>
        <v/>
      </c>
      <c r="Q941" t="str">
        <f>IF(N941="","",IF(P941=0,SUMIFS(Calcoli!$C$7:$C$21,Calcoli!$A$7:$A$21,C941),INDEX($S$5:$S$1004,P941)))</f>
        <v/>
      </c>
      <c r="R941" t="str">
        <f>IF(N941="","",IF(P941=0,SUMIFS(Calcoli!$D$7:$D$21,Calcoli!$A$7:$A$21,C941),INDEX($T$5:$T$1004,P941)))</f>
        <v/>
      </c>
      <c r="S941" t="str">
        <f>IF(N941="","",IF(B941="Acquisto",Q941+N(D941),MAX(0,Q941-N(D941))))</f>
        <v/>
      </c>
      <c r="T941" t="str">
        <f>IF(N941="","",IF(B941="Acquisto",R941+J941+N(G941),IF(Q941&lt;=0,0,R941*(1-MIN(1,N(D941)/Q941)))))</f>
        <v/>
      </c>
      <c r="U941" t="str">
        <f>IF(B941&lt;&gt;"Vendita","",J941-N(G941)-IF(Q941&lt;=0,0,R941*MIN(1,N(D941)/Q941)))</f>
        <v/>
      </c>
      <c r="V941" t="str">
        <f>IF(B941&lt;&gt;"Dividendo","",IF(Calcoli!$B$251=1,J941,L941))</f>
        <v/>
      </c>
      <c r="W941" t="str">
        <f>IF(AND(V941&lt;&gt;"",ISNUMBER(A941)),A941,"")</f>
        <v/>
      </c>
    </row>
    <row r="942">
      <c r="A942" s="134" t="n"/>
      <c r="B942" s="116" t="n"/>
      <c r="C942" s="116" t="n"/>
      <c r="D942" s="121" t="n"/>
      <c r="E942" s="120" t="n"/>
      <c r="F942" s="120" t="n"/>
      <c r="G942" s="120" t="n"/>
      <c r="H942" s="120" t="n"/>
      <c r="I942" s="117" t="n"/>
      <c r="J942" s="123" t="str">
        <f>IF(B942="","",IF(F942&lt;&gt;"",N(F942),ROUND(N(D942)*N(E942),2)))</f>
        <v/>
      </c>
      <c r="K942" s="123" t="str">
        <f>IF(B942="","",IF(H942&lt;&gt;"",N(H942),IF(B942="Dividendo",ROUND(J942*IFERROR(INDEX(Calcoli!$V$7:$V$21,MATCH(C942,Calcoli!$A$7:$A$21,0)),0.26),2),IF(B942="Vendita",ROUND(MAX(0,U942)*IFERROR(INDEX(Calcoli!$V$7:$V$21,MATCH(C942,Calcoli!$A$7:$A$21,0)),0.26),2),0))))</f>
        <v/>
      </c>
      <c r="L942" s="135" t="str">
        <f>IF(B942="","",IF(B942="Acquisto",-(J942+N(G942)),J942-N(G942)-K942))</f>
        <v/>
      </c>
      <c r="M942" s="127" t="str">
        <f>IF(B942="","",IF(ISNA(MATCH(C942,ETF!$A$7:$A$21,0)),"ETF?",IF(NOT(ISNUMBER(A942)),"Data?",IF(AND(B942&lt;&gt;"Dividendo",N(D942)&lt;=0),"Quote?",IF(AND(B942="Vendita",N(D942)&gt;N(Q942)+0.000001),"Quote?",IF(J942&lt;=0,"Importo?","✓"))))))</f>
        <v/>
      </c>
      <c r="N942" t="str">
        <f>IF(OR(B942="Acquisto",B942="Vendita"),COUNTIFS($C$5:C942,C942,$B$5:B942,"Acquisto")+COUNTIFS($C$5:C942,C942,$B$5:B942,"Vendita"),"")</f>
        <v/>
      </c>
      <c r="O942" t="str">
        <f>IF(N942="","",C942&amp;"|"&amp;N942)</f>
        <v/>
      </c>
      <c r="P942" t="str">
        <f>IF(N942="","",IF(N942=1,0,MATCH(C942&amp;"|"&amp;(N942-1),$O$5:$O$1004,0)))</f>
        <v/>
      </c>
      <c r="Q942" t="str">
        <f>IF(N942="","",IF(P942=0,SUMIFS(Calcoli!$C$7:$C$21,Calcoli!$A$7:$A$21,C942),INDEX($S$5:$S$1004,P942)))</f>
        <v/>
      </c>
      <c r="R942" t="str">
        <f>IF(N942="","",IF(P942=0,SUMIFS(Calcoli!$D$7:$D$21,Calcoli!$A$7:$A$21,C942),INDEX($T$5:$T$1004,P942)))</f>
        <v/>
      </c>
      <c r="S942" t="str">
        <f>IF(N942="","",IF(B942="Acquisto",Q942+N(D942),MAX(0,Q942-N(D942))))</f>
        <v/>
      </c>
      <c r="T942" t="str">
        <f>IF(N942="","",IF(B942="Acquisto",R942+J942+N(G942),IF(Q942&lt;=0,0,R942*(1-MIN(1,N(D942)/Q942)))))</f>
        <v/>
      </c>
      <c r="U942" t="str">
        <f>IF(B942&lt;&gt;"Vendita","",J942-N(G942)-IF(Q942&lt;=0,0,R942*MIN(1,N(D942)/Q942)))</f>
        <v/>
      </c>
      <c r="V942" t="str">
        <f>IF(B942&lt;&gt;"Dividendo","",IF(Calcoli!$B$251=1,J942,L942))</f>
        <v/>
      </c>
      <c r="W942" t="str">
        <f>IF(AND(V942&lt;&gt;"",ISNUMBER(A942)),A942,"")</f>
        <v/>
      </c>
    </row>
    <row r="943">
      <c r="A943" s="134" t="n"/>
      <c r="B943" s="116" t="n"/>
      <c r="C943" s="116" t="n"/>
      <c r="D943" s="121" t="n"/>
      <c r="E943" s="120" t="n"/>
      <c r="F943" s="120" t="n"/>
      <c r="G943" s="120" t="n"/>
      <c r="H943" s="120" t="n"/>
      <c r="I943" s="117" t="n"/>
      <c r="J943" s="123" t="str">
        <f>IF(B943="","",IF(F943&lt;&gt;"",N(F943),ROUND(N(D943)*N(E943),2)))</f>
        <v/>
      </c>
      <c r="K943" s="123" t="str">
        <f>IF(B943="","",IF(H943&lt;&gt;"",N(H943),IF(B943="Dividendo",ROUND(J943*IFERROR(INDEX(Calcoli!$V$7:$V$21,MATCH(C943,Calcoli!$A$7:$A$21,0)),0.26),2),IF(B943="Vendita",ROUND(MAX(0,U943)*IFERROR(INDEX(Calcoli!$V$7:$V$21,MATCH(C943,Calcoli!$A$7:$A$21,0)),0.26),2),0))))</f>
        <v/>
      </c>
      <c r="L943" s="135" t="str">
        <f>IF(B943="","",IF(B943="Acquisto",-(J943+N(G943)),J943-N(G943)-K943))</f>
        <v/>
      </c>
      <c r="M943" s="127" t="str">
        <f>IF(B943="","",IF(ISNA(MATCH(C943,ETF!$A$7:$A$21,0)),"ETF?",IF(NOT(ISNUMBER(A943)),"Data?",IF(AND(B943&lt;&gt;"Dividendo",N(D943)&lt;=0),"Quote?",IF(AND(B943="Vendita",N(D943)&gt;N(Q943)+0.000001),"Quote?",IF(J943&lt;=0,"Importo?","✓"))))))</f>
        <v/>
      </c>
      <c r="N943" t="str">
        <f>IF(OR(B943="Acquisto",B943="Vendita"),COUNTIFS($C$5:C943,C943,$B$5:B943,"Acquisto")+COUNTIFS($C$5:C943,C943,$B$5:B943,"Vendita"),"")</f>
        <v/>
      </c>
      <c r="O943" t="str">
        <f>IF(N943="","",C943&amp;"|"&amp;N943)</f>
        <v/>
      </c>
      <c r="P943" t="str">
        <f>IF(N943="","",IF(N943=1,0,MATCH(C943&amp;"|"&amp;(N943-1),$O$5:$O$1004,0)))</f>
        <v/>
      </c>
      <c r="Q943" t="str">
        <f>IF(N943="","",IF(P943=0,SUMIFS(Calcoli!$C$7:$C$21,Calcoli!$A$7:$A$21,C943),INDEX($S$5:$S$1004,P943)))</f>
        <v/>
      </c>
      <c r="R943" t="str">
        <f>IF(N943="","",IF(P943=0,SUMIFS(Calcoli!$D$7:$D$21,Calcoli!$A$7:$A$21,C943),INDEX($T$5:$T$1004,P943)))</f>
        <v/>
      </c>
      <c r="S943" t="str">
        <f>IF(N943="","",IF(B943="Acquisto",Q943+N(D943),MAX(0,Q943-N(D943))))</f>
        <v/>
      </c>
      <c r="T943" t="str">
        <f>IF(N943="","",IF(B943="Acquisto",R943+J943+N(G943),IF(Q943&lt;=0,0,R943*(1-MIN(1,N(D943)/Q943)))))</f>
        <v/>
      </c>
      <c r="U943" t="str">
        <f>IF(B943&lt;&gt;"Vendita","",J943-N(G943)-IF(Q943&lt;=0,0,R943*MIN(1,N(D943)/Q943)))</f>
        <v/>
      </c>
      <c r="V943" t="str">
        <f>IF(B943&lt;&gt;"Dividendo","",IF(Calcoli!$B$251=1,J943,L943))</f>
        <v/>
      </c>
      <c r="W943" t="str">
        <f>IF(AND(V943&lt;&gt;"",ISNUMBER(A943)),A943,"")</f>
        <v/>
      </c>
    </row>
    <row r="944">
      <c r="A944" s="134" t="n"/>
      <c r="B944" s="116" t="n"/>
      <c r="C944" s="116" t="n"/>
      <c r="D944" s="121" t="n"/>
      <c r="E944" s="120" t="n"/>
      <c r="F944" s="120" t="n"/>
      <c r="G944" s="120" t="n"/>
      <c r="H944" s="120" t="n"/>
      <c r="I944" s="117" t="n"/>
      <c r="J944" s="123" t="str">
        <f>IF(B944="","",IF(F944&lt;&gt;"",N(F944),ROUND(N(D944)*N(E944),2)))</f>
        <v/>
      </c>
      <c r="K944" s="123" t="str">
        <f>IF(B944="","",IF(H944&lt;&gt;"",N(H944),IF(B944="Dividendo",ROUND(J944*IFERROR(INDEX(Calcoli!$V$7:$V$21,MATCH(C944,Calcoli!$A$7:$A$21,0)),0.26),2),IF(B944="Vendita",ROUND(MAX(0,U944)*IFERROR(INDEX(Calcoli!$V$7:$V$21,MATCH(C944,Calcoli!$A$7:$A$21,0)),0.26),2),0))))</f>
        <v/>
      </c>
      <c r="L944" s="135" t="str">
        <f>IF(B944="","",IF(B944="Acquisto",-(J944+N(G944)),J944-N(G944)-K944))</f>
        <v/>
      </c>
      <c r="M944" s="127" t="str">
        <f>IF(B944="","",IF(ISNA(MATCH(C944,ETF!$A$7:$A$21,0)),"ETF?",IF(NOT(ISNUMBER(A944)),"Data?",IF(AND(B944&lt;&gt;"Dividendo",N(D944)&lt;=0),"Quote?",IF(AND(B944="Vendita",N(D944)&gt;N(Q944)+0.000001),"Quote?",IF(J944&lt;=0,"Importo?","✓"))))))</f>
        <v/>
      </c>
      <c r="N944" t="str">
        <f>IF(OR(B944="Acquisto",B944="Vendita"),COUNTIFS($C$5:C944,C944,$B$5:B944,"Acquisto")+COUNTIFS($C$5:C944,C944,$B$5:B944,"Vendita"),"")</f>
        <v/>
      </c>
      <c r="O944" t="str">
        <f>IF(N944="","",C944&amp;"|"&amp;N944)</f>
        <v/>
      </c>
      <c r="P944" t="str">
        <f>IF(N944="","",IF(N944=1,0,MATCH(C944&amp;"|"&amp;(N944-1),$O$5:$O$1004,0)))</f>
        <v/>
      </c>
      <c r="Q944" t="str">
        <f>IF(N944="","",IF(P944=0,SUMIFS(Calcoli!$C$7:$C$21,Calcoli!$A$7:$A$21,C944),INDEX($S$5:$S$1004,P944)))</f>
        <v/>
      </c>
      <c r="R944" t="str">
        <f>IF(N944="","",IF(P944=0,SUMIFS(Calcoli!$D$7:$D$21,Calcoli!$A$7:$A$21,C944),INDEX($T$5:$T$1004,P944)))</f>
        <v/>
      </c>
      <c r="S944" t="str">
        <f>IF(N944="","",IF(B944="Acquisto",Q944+N(D944),MAX(0,Q944-N(D944))))</f>
        <v/>
      </c>
      <c r="T944" t="str">
        <f>IF(N944="","",IF(B944="Acquisto",R944+J944+N(G944),IF(Q944&lt;=0,0,R944*(1-MIN(1,N(D944)/Q944)))))</f>
        <v/>
      </c>
      <c r="U944" t="str">
        <f>IF(B944&lt;&gt;"Vendita","",J944-N(G944)-IF(Q944&lt;=0,0,R944*MIN(1,N(D944)/Q944)))</f>
        <v/>
      </c>
      <c r="V944" t="str">
        <f>IF(B944&lt;&gt;"Dividendo","",IF(Calcoli!$B$251=1,J944,L944))</f>
        <v/>
      </c>
      <c r="W944" t="str">
        <f>IF(AND(V944&lt;&gt;"",ISNUMBER(A944)),A944,"")</f>
        <v/>
      </c>
    </row>
    <row r="945">
      <c r="A945" s="134" t="n"/>
      <c r="B945" s="116" t="n"/>
      <c r="C945" s="116" t="n"/>
      <c r="D945" s="121" t="n"/>
      <c r="E945" s="120" t="n"/>
      <c r="F945" s="120" t="n"/>
      <c r="G945" s="120" t="n"/>
      <c r="H945" s="120" t="n"/>
      <c r="I945" s="117" t="n"/>
      <c r="J945" s="123" t="str">
        <f>IF(B945="","",IF(F945&lt;&gt;"",N(F945),ROUND(N(D945)*N(E945),2)))</f>
        <v/>
      </c>
      <c r="K945" s="123" t="str">
        <f>IF(B945="","",IF(H945&lt;&gt;"",N(H945),IF(B945="Dividendo",ROUND(J945*IFERROR(INDEX(Calcoli!$V$7:$V$21,MATCH(C945,Calcoli!$A$7:$A$21,0)),0.26),2),IF(B945="Vendita",ROUND(MAX(0,U945)*IFERROR(INDEX(Calcoli!$V$7:$V$21,MATCH(C945,Calcoli!$A$7:$A$21,0)),0.26),2),0))))</f>
        <v/>
      </c>
      <c r="L945" s="135" t="str">
        <f>IF(B945="","",IF(B945="Acquisto",-(J945+N(G945)),J945-N(G945)-K945))</f>
        <v/>
      </c>
      <c r="M945" s="127" t="str">
        <f>IF(B945="","",IF(ISNA(MATCH(C945,ETF!$A$7:$A$21,0)),"ETF?",IF(NOT(ISNUMBER(A945)),"Data?",IF(AND(B945&lt;&gt;"Dividendo",N(D945)&lt;=0),"Quote?",IF(AND(B945="Vendita",N(D945)&gt;N(Q945)+0.000001),"Quote?",IF(J945&lt;=0,"Importo?","✓"))))))</f>
        <v/>
      </c>
      <c r="N945" t="str">
        <f>IF(OR(B945="Acquisto",B945="Vendita"),COUNTIFS($C$5:C945,C945,$B$5:B945,"Acquisto")+COUNTIFS($C$5:C945,C945,$B$5:B945,"Vendita"),"")</f>
        <v/>
      </c>
      <c r="O945" t="str">
        <f>IF(N945="","",C945&amp;"|"&amp;N945)</f>
        <v/>
      </c>
      <c r="P945" t="str">
        <f>IF(N945="","",IF(N945=1,0,MATCH(C945&amp;"|"&amp;(N945-1),$O$5:$O$1004,0)))</f>
        <v/>
      </c>
      <c r="Q945" t="str">
        <f>IF(N945="","",IF(P945=0,SUMIFS(Calcoli!$C$7:$C$21,Calcoli!$A$7:$A$21,C945),INDEX($S$5:$S$1004,P945)))</f>
        <v/>
      </c>
      <c r="R945" t="str">
        <f>IF(N945="","",IF(P945=0,SUMIFS(Calcoli!$D$7:$D$21,Calcoli!$A$7:$A$21,C945),INDEX($T$5:$T$1004,P945)))</f>
        <v/>
      </c>
      <c r="S945" t="str">
        <f>IF(N945="","",IF(B945="Acquisto",Q945+N(D945),MAX(0,Q945-N(D945))))</f>
        <v/>
      </c>
      <c r="T945" t="str">
        <f>IF(N945="","",IF(B945="Acquisto",R945+J945+N(G945),IF(Q945&lt;=0,0,R945*(1-MIN(1,N(D945)/Q945)))))</f>
        <v/>
      </c>
      <c r="U945" t="str">
        <f>IF(B945&lt;&gt;"Vendita","",J945-N(G945)-IF(Q945&lt;=0,0,R945*MIN(1,N(D945)/Q945)))</f>
        <v/>
      </c>
      <c r="V945" t="str">
        <f>IF(B945&lt;&gt;"Dividendo","",IF(Calcoli!$B$251=1,J945,L945))</f>
        <v/>
      </c>
      <c r="W945" t="str">
        <f>IF(AND(V945&lt;&gt;"",ISNUMBER(A945)),A945,"")</f>
        <v/>
      </c>
    </row>
    <row r="946">
      <c r="A946" s="134" t="n"/>
      <c r="B946" s="116" t="n"/>
      <c r="C946" s="116" t="n"/>
      <c r="D946" s="121" t="n"/>
      <c r="E946" s="120" t="n"/>
      <c r="F946" s="120" t="n"/>
      <c r="G946" s="120" t="n"/>
      <c r="H946" s="120" t="n"/>
      <c r="I946" s="117" t="n"/>
      <c r="J946" s="123" t="str">
        <f>IF(B946="","",IF(F946&lt;&gt;"",N(F946),ROUND(N(D946)*N(E946),2)))</f>
        <v/>
      </c>
      <c r="K946" s="123" t="str">
        <f>IF(B946="","",IF(H946&lt;&gt;"",N(H946),IF(B946="Dividendo",ROUND(J946*IFERROR(INDEX(Calcoli!$V$7:$V$21,MATCH(C946,Calcoli!$A$7:$A$21,0)),0.26),2),IF(B946="Vendita",ROUND(MAX(0,U946)*IFERROR(INDEX(Calcoli!$V$7:$V$21,MATCH(C946,Calcoli!$A$7:$A$21,0)),0.26),2),0))))</f>
        <v/>
      </c>
      <c r="L946" s="135" t="str">
        <f>IF(B946="","",IF(B946="Acquisto",-(J946+N(G946)),J946-N(G946)-K946))</f>
        <v/>
      </c>
      <c r="M946" s="127" t="str">
        <f>IF(B946="","",IF(ISNA(MATCH(C946,ETF!$A$7:$A$21,0)),"ETF?",IF(NOT(ISNUMBER(A946)),"Data?",IF(AND(B946&lt;&gt;"Dividendo",N(D946)&lt;=0),"Quote?",IF(AND(B946="Vendita",N(D946)&gt;N(Q946)+0.000001),"Quote?",IF(J946&lt;=0,"Importo?","✓"))))))</f>
        <v/>
      </c>
      <c r="N946" t="str">
        <f>IF(OR(B946="Acquisto",B946="Vendita"),COUNTIFS($C$5:C946,C946,$B$5:B946,"Acquisto")+COUNTIFS($C$5:C946,C946,$B$5:B946,"Vendita"),"")</f>
        <v/>
      </c>
      <c r="O946" t="str">
        <f>IF(N946="","",C946&amp;"|"&amp;N946)</f>
        <v/>
      </c>
      <c r="P946" t="str">
        <f>IF(N946="","",IF(N946=1,0,MATCH(C946&amp;"|"&amp;(N946-1),$O$5:$O$1004,0)))</f>
        <v/>
      </c>
      <c r="Q946" t="str">
        <f>IF(N946="","",IF(P946=0,SUMIFS(Calcoli!$C$7:$C$21,Calcoli!$A$7:$A$21,C946),INDEX($S$5:$S$1004,P946)))</f>
        <v/>
      </c>
      <c r="R946" t="str">
        <f>IF(N946="","",IF(P946=0,SUMIFS(Calcoli!$D$7:$D$21,Calcoli!$A$7:$A$21,C946),INDEX($T$5:$T$1004,P946)))</f>
        <v/>
      </c>
      <c r="S946" t="str">
        <f>IF(N946="","",IF(B946="Acquisto",Q946+N(D946),MAX(0,Q946-N(D946))))</f>
        <v/>
      </c>
      <c r="T946" t="str">
        <f>IF(N946="","",IF(B946="Acquisto",R946+J946+N(G946),IF(Q946&lt;=0,0,R946*(1-MIN(1,N(D946)/Q946)))))</f>
        <v/>
      </c>
      <c r="U946" t="str">
        <f>IF(B946&lt;&gt;"Vendita","",J946-N(G946)-IF(Q946&lt;=0,0,R946*MIN(1,N(D946)/Q946)))</f>
        <v/>
      </c>
      <c r="V946" t="str">
        <f>IF(B946&lt;&gt;"Dividendo","",IF(Calcoli!$B$251=1,J946,L946))</f>
        <v/>
      </c>
      <c r="W946" t="str">
        <f>IF(AND(V946&lt;&gt;"",ISNUMBER(A946)),A946,"")</f>
        <v/>
      </c>
    </row>
    <row r="947">
      <c r="A947" s="134" t="n"/>
      <c r="B947" s="116" t="n"/>
      <c r="C947" s="116" t="n"/>
      <c r="D947" s="121" t="n"/>
      <c r="E947" s="120" t="n"/>
      <c r="F947" s="120" t="n"/>
      <c r="G947" s="120" t="n"/>
      <c r="H947" s="120" t="n"/>
      <c r="I947" s="117" t="n"/>
      <c r="J947" s="123" t="str">
        <f>IF(B947="","",IF(F947&lt;&gt;"",N(F947),ROUND(N(D947)*N(E947),2)))</f>
        <v/>
      </c>
      <c r="K947" s="123" t="str">
        <f>IF(B947="","",IF(H947&lt;&gt;"",N(H947),IF(B947="Dividendo",ROUND(J947*IFERROR(INDEX(Calcoli!$V$7:$V$21,MATCH(C947,Calcoli!$A$7:$A$21,0)),0.26),2),IF(B947="Vendita",ROUND(MAX(0,U947)*IFERROR(INDEX(Calcoli!$V$7:$V$21,MATCH(C947,Calcoli!$A$7:$A$21,0)),0.26),2),0))))</f>
        <v/>
      </c>
      <c r="L947" s="135" t="str">
        <f>IF(B947="","",IF(B947="Acquisto",-(J947+N(G947)),J947-N(G947)-K947))</f>
        <v/>
      </c>
      <c r="M947" s="127" t="str">
        <f>IF(B947="","",IF(ISNA(MATCH(C947,ETF!$A$7:$A$21,0)),"ETF?",IF(NOT(ISNUMBER(A947)),"Data?",IF(AND(B947&lt;&gt;"Dividendo",N(D947)&lt;=0),"Quote?",IF(AND(B947="Vendita",N(D947)&gt;N(Q947)+0.000001),"Quote?",IF(J947&lt;=0,"Importo?","✓"))))))</f>
        <v/>
      </c>
      <c r="N947" t="str">
        <f>IF(OR(B947="Acquisto",B947="Vendita"),COUNTIFS($C$5:C947,C947,$B$5:B947,"Acquisto")+COUNTIFS($C$5:C947,C947,$B$5:B947,"Vendita"),"")</f>
        <v/>
      </c>
      <c r="O947" t="str">
        <f>IF(N947="","",C947&amp;"|"&amp;N947)</f>
        <v/>
      </c>
      <c r="P947" t="str">
        <f>IF(N947="","",IF(N947=1,0,MATCH(C947&amp;"|"&amp;(N947-1),$O$5:$O$1004,0)))</f>
        <v/>
      </c>
      <c r="Q947" t="str">
        <f>IF(N947="","",IF(P947=0,SUMIFS(Calcoli!$C$7:$C$21,Calcoli!$A$7:$A$21,C947),INDEX($S$5:$S$1004,P947)))</f>
        <v/>
      </c>
      <c r="R947" t="str">
        <f>IF(N947="","",IF(P947=0,SUMIFS(Calcoli!$D$7:$D$21,Calcoli!$A$7:$A$21,C947),INDEX($T$5:$T$1004,P947)))</f>
        <v/>
      </c>
      <c r="S947" t="str">
        <f>IF(N947="","",IF(B947="Acquisto",Q947+N(D947),MAX(0,Q947-N(D947))))</f>
        <v/>
      </c>
      <c r="T947" t="str">
        <f>IF(N947="","",IF(B947="Acquisto",R947+J947+N(G947),IF(Q947&lt;=0,0,R947*(1-MIN(1,N(D947)/Q947)))))</f>
        <v/>
      </c>
      <c r="U947" t="str">
        <f>IF(B947&lt;&gt;"Vendita","",J947-N(G947)-IF(Q947&lt;=0,0,R947*MIN(1,N(D947)/Q947)))</f>
        <v/>
      </c>
      <c r="V947" t="str">
        <f>IF(B947&lt;&gt;"Dividendo","",IF(Calcoli!$B$251=1,J947,L947))</f>
        <v/>
      </c>
      <c r="W947" t="str">
        <f>IF(AND(V947&lt;&gt;"",ISNUMBER(A947)),A947,"")</f>
        <v/>
      </c>
    </row>
    <row r="948">
      <c r="A948" s="134" t="n"/>
      <c r="B948" s="116" t="n"/>
      <c r="C948" s="116" t="n"/>
      <c r="D948" s="121" t="n"/>
      <c r="E948" s="120" t="n"/>
      <c r="F948" s="120" t="n"/>
      <c r="G948" s="120" t="n"/>
      <c r="H948" s="120" t="n"/>
      <c r="I948" s="117" t="n"/>
      <c r="J948" s="123" t="str">
        <f>IF(B948="","",IF(F948&lt;&gt;"",N(F948),ROUND(N(D948)*N(E948),2)))</f>
        <v/>
      </c>
      <c r="K948" s="123" t="str">
        <f>IF(B948="","",IF(H948&lt;&gt;"",N(H948),IF(B948="Dividendo",ROUND(J948*IFERROR(INDEX(Calcoli!$V$7:$V$21,MATCH(C948,Calcoli!$A$7:$A$21,0)),0.26),2),IF(B948="Vendita",ROUND(MAX(0,U948)*IFERROR(INDEX(Calcoli!$V$7:$V$21,MATCH(C948,Calcoli!$A$7:$A$21,0)),0.26),2),0))))</f>
        <v/>
      </c>
      <c r="L948" s="135" t="str">
        <f>IF(B948="","",IF(B948="Acquisto",-(J948+N(G948)),J948-N(G948)-K948))</f>
        <v/>
      </c>
      <c r="M948" s="127" t="str">
        <f>IF(B948="","",IF(ISNA(MATCH(C948,ETF!$A$7:$A$21,0)),"ETF?",IF(NOT(ISNUMBER(A948)),"Data?",IF(AND(B948&lt;&gt;"Dividendo",N(D948)&lt;=0),"Quote?",IF(AND(B948="Vendita",N(D948)&gt;N(Q948)+0.000001),"Quote?",IF(J948&lt;=0,"Importo?","✓"))))))</f>
        <v/>
      </c>
      <c r="N948" t="str">
        <f>IF(OR(B948="Acquisto",B948="Vendita"),COUNTIFS($C$5:C948,C948,$B$5:B948,"Acquisto")+COUNTIFS($C$5:C948,C948,$B$5:B948,"Vendita"),"")</f>
        <v/>
      </c>
      <c r="O948" t="str">
        <f>IF(N948="","",C948&amp;"|"&amp;N948)</f>
        <v/>
      </c>
      <c r="P948" t="str">
        <f>IF(N948="","",IF(N948=1,0,MATCH(C948&amp;"|"&amp;(N948-1),$O$5:$O$1004,0)))</f>
        <v/>
      </c>
      <c r="Q948" t="str">
        <f>IF(N948="","",IF(P948=0,SUMIFS(Calcoli!$C$7:$C$21,Calcoli!$A$7:$A$21,C948),INDEX($S$5:$S$1004,P948)))</f>
        <v/>
      </c>
      <c r="R948" t="str">
        <f>IF(N948="","",IF(P948=0,SUMIFS(Calcoli!$D$7:$D$21,Calcoli!$A$7:$A$21,C948),INDEX($T$5:$T$1004,P948)))</f>
        <v/>
      </c>
      <c r="S948" t="str">
        <f>IF(N948="","",IF(B948="Acquisto",Q948+N(D948),MAX(0,Q948-N(D948))))</f>
        <v/>
      </c>
      <c r="T948" t="str">
        <f>IF(N948="","",IF(B948="Acquisto",R948+J948+N(G948),IF(Q948&lt;=0,0,R948*(1-MIN(1,N(D948)/Q948)))))</f>
        <v/>
      </c>
      <c r="U948" t="str">
        <f>IF(B948&lt;&gt;"Vendita","",J948-N(G948)-IF(Q948&lt;=0,0,R948*MIN(1,N(D948)/Q948)))</f>
        <v/>
      </c>
      <c r="V948" t="str">
        <f>IF(B948&lt;&gt;"Dividendo","",IF(Calcoli!$B$251=1,J948,L948))</f>
        <v/>
      </c>
      <c r="W948" t="str">
        <f>IF(AND(V948&lt;&gt;"",ISNUMBER(A948)),A948,"")</f>
        <v/>
      </c>
    </row>
    <row r="949">
      <c r="A949" s="134" t="n"/>
      <c r="B949" s="116" t="n"/>
      <c r="C949" s="116" t="n"/>
      <c r="D949" s="121" t="n"/>
      <c r="E949" s="120" t="n"/>
      <c r="F949" s="120" t="n"/>
      <c r="G949" s="120" t="n"/>
      <c r="H949" s="120" t="n"/>
      <c r="I949" s="117" t="n"/>
      <c r="J949" s="123" t="str">
        <f>IF(B949="","",IF(F949&lt;&gt;"",N(F949),ROUND(N(D949)*N(E949),2)))</f>
        <v/>
      </c>
      <c r="K949" s="123" t="str">
        <f>IF(B949="","",IF(H949&lt;&gt;"",N(H949),IF(B949="Dividendo",ROUND(J949*IFERROR(INDEX(Calcoli!$V$7:$V$21,MATCH(C949,Calcoli!$A$7:$A$21,0)),0.26),2),IF(B949="Vendita",ROUND(MAX(0,U949)*IFERROR(INDEX(Calcoli!$V$7:$V$21,MATCH(C949,Calcoli!$A$7:$A$21,0)),0.26),2),0))))</f>
        <v/>
      </c>
      <c r="L949" s="135" t="str">
        <f>IF(B949="","",IF(B949="Acquisto",-(J949+N(G949)),J949-N(G949)-K949))</f>
        <v/>
      </c>
      <c r="M949" s="127" t="str">
        <f>IF(B949="","",IF(ISNA(MATCH(C949,ETF!$A$7:$A$21,0)),"ETF?",IF(NOT(ISNUMBER(A949)),"Data?",IF(AND(B949&lt;&gt;"Dividendo",N(D949)&lt;=0),"Quote?",IF(AND(B949="Vendita",N(D949)&gt;N(Q949)+0.000001),"Quote?",IF(J949&lt;=0,"Importo?","✓"))))))</f>
        <v/>
      </c>
      <c r="N949" t="str">
        <f>IF(OR(B949="Acquisto",B949="Vendita"),COUNTIFS($C$5:C949,C949,$B$5:B949,"Acquisto")+COUNTIFS($C$5:C949,C949,$B$5:B949,"Vendita"),"")</f>
        <v/>
      </c>
      <c r="O949" t="str">
        <f>IF(N949="","",C949&amp;"|"&amp;N949)</f>
        <v/>
      </c>
      <c r="P949" t="str">
        <f>IF(N949="","",IF(N949=1,0,MATCH(C949&amp;"|"&amp;(N949-1),$O$5:$O$1004,0)))</f>
        <v/>
      </c>
      <c r="Q949" t="str">
        <f>IF(N949="","",IF(P949=0,SUMIFS(Calcoli!$C$7:$C$21,Calcoli!$A$7:$A$21,C949),INDEX($S$5:$S$1004,P949)))</f>
        <v/>
      </c>
      <c r="R949" t="str">
        <f>IF(N949="","",IF(P949=0,SUMIFS(Calcoli!$D$7:$D$21,Calcoli!$A$7:$A$21,C949),INDEX($T$5:$T$1004,P949)))</f>
        <v/>
      </c>
      <c r="S949" t="str">
        <f>IF(N949="","",IF(B949="Acquisto",Q949+N(D949),MAX(0,Q949-N(D949))))</f>
        <v/>
      </c>
      <c r="T949" t="str">
        <f>IF(N949="","",IF(B949="Acquisto",R949+J949+N(G949),IF(Q949&lt;=0,0,R949*(1-MIN(1,N(D949)/Q949)))))</f>
        <v/>
      </c>
      <c r="U949" t="str">
        <f>IF(B949&lt;&gt;"Vendita","",J949-N(G949)-IF(Q949&lt;=0,0,R949*MIN(1,N(D949)/Q949)))</f>
        <v/>
      </c>
      <c r="V949" t="str">
        <f>IF(B949&lt;&gt;"Dividendo","",IF(Calcoli!$B$251=1,J949,L949))</f>
        <v/>
      </c>
      <c r="W949" t="str">
        <f>IF(AND(V949&lt;&gt;"",ISNUMBER(A949)),A949,"")</f>
        <v/>
      </c>
    </row>
    <row r="950">
      <c r="A950" s="134" t="n"/>
      <c r="B950" s="116" t="n"/>
      <c r="C950" s="116" t="n"/>
      <c r="D950" s="121" t="n"/>
      <c r="E950" s="120" t="n"/>
      <c r="F950" s="120" t="n"/>
      <c r="G950" s="120" t="n"/>
      <c r="H950" s="120" t="n"/>
      <c r="I950" s="117" t="n"/>
      <c r="J950" s="123" t="str">
        <f>IF(B950="","",IF(F950&lt;&gt;"",N(F950),ROUND(N(D950)*N(E950),2)))</f>
        <v/>
      </c>
      <c r="K950" s="123" t="str">
        <f>IF(B950="","",IF(H950&lt;&gt;"",N(H950),IF(B950="Dividendo",ROUND(J950*IFERROR(INDEX(Calcoli!$V$7:$V$21,MATCH(C950,Calcoli!$A$7:$A$21,0)),0.26),2),IF(B950="Vendita",ROUND(MAX(0,U950)*IFERROR(INDEX(Calcoli!$V$7:$V$21,MATCH(C950,Calcoli!$A$7:$A$21,0)),0.26),2),0))))</f>
        <v/>
      </c>
      <c r="L950" s="135" t="str">
        <f>IF(B950="","",IF(B950="Acquisto",-(J950+N(G950)),J950-N(G950)-K950))</f>
        <v/>
      </c>
      <c r="M950" s="127" t="str">
        <f>IF(B950="","",IF(ISNA(MATCH(C950,ETF!$A$7:$A$21,0)),"ETF?",IF(NOT(ISNUMBER(A950)),"Data?",IF(AND(B950&lt;&gt;"Dividendo",N(D950)&lt;=0),"Quote?",IF(AND(B950="Vendita",N(D950)&gt;N(Q950)+0.000001),"Quote?",IF(J950&lt;=0,"Importo?","✓"))))))</f>
        <v/>
      </c>
      <c r="N950" t="str">
        <f>IF(OR(B950="Acquisto",B950="Vendita"),COUNTIFS($C$5:C950,C950,$B$5:B950,"Acquisto")+COUNTIFS($C$5:C950,C950,$B$5:B950,"Vendita"),"")</f>
        <v/>
      </c>
      <c r="O950" t="str">
        <f>IF(N950="","",C950&amp;"|"&amp;N950)</f>
        <v/>
      </c>
      <c r="P950" t="str">
        <f>IF(N950="","",IF(N950=1,0,MATCH(C950&amp;"|"&amp;(N950-1),$O$5:$O$1004,0)))</f>
        <v/>
      </c>
      <c r="Q950" t="str">
        <f>IF(N950="","",IF(P950=0,SUMIFS(Calcoli!$C$7:$C$21,Calcoli!$A$7:$A$21,C950),INDEX($S$5:$S$1004,P950)))</f>
        <v/>
      </c>
      <c r="R950" t="str">
        <f>IF(N950="","",IF(P950=0,SUMIFS(Calcoli!$D$7:$D$21,Calcoli!$A$7:$A$21,C950),INDEX($T$5:$T$1004,P950)))</f>
        <v/>
      </c>
      <c r="S950" t="str">
        <f>IF(N950="","",IF(B950="Acquisto",Q950+N(D950),MAX(0,Q950-N(D950))))</f>
        <v/>
      </c>
      <c r="T950" t="str">
        <f>IF(N950="","",IF(B950="Acquisto",R950+J950+N(G950),IF(Q950&lt;=0,0,R950*(1-MIN(1,N(D950)/Q950)))))</f>
        <v/>
      </c>
      <c r="U950" t="str">
        <f>IF(B950&lt;&gt;"Vendita","",J950-N(G950)-IF(Q950&lt;=0,0,R950*MIN(1,N(D950)/Q950)))</f>
        <v/>
      </c>
      <c r="V950" t="str">
        <f>IF(B950&lt;&gt;"Dividendo","",IF(Calcoli!$B$251=1,J950,L950))</f>
        <v/>
      </c>
      <c r="W950" t="str">
        <f>IF(AND(V950&lt;&gt;"",ISNUMBER(A950)),A950,"")</f>
        <v/>
      </c>
    </row>
    <row r="951">
      <c r="A951" s="134" t="n"/>
      <c r="B951" s="116" t="n"/>
      <c r="C951" s="116" t="n"/>
      <c r="D951" s="121" t="n"/>
      <c r="E951" s="120" t="n"/>
      <c r="F951" s="120" t="n"/>
      <c r="G951" s="120" t="n"/>
      <c r="H951" s="120" t="n"/>
      <c r="I951" s="117" t="n"/>
      <c r="J951" s="123" t="str">
        <f>IF(B951="","",IF(F951&lt;&gt;"",N(F951),ROUND(N(D951)*N(E951),2)))</f>
        <v/>
      </c>
      <c r="K951" s="123" t="str">
        <f>IF(B951="","",IF(H951&lt;&gt;"",N(H951),IF(B951="Dividendo",ROUND(J951*IFERROR(INDEX(Calcoli!$V$7:$V$21,MATCH(C951,Calcoli!$A$7:$A$21,0)),0.26),2),IF(B951="Vendita",ROUND(MAX(0,U951)*IFERROR(INDEX(Calcoli!$V$7:$V$21,MATCH(C951,Calcoli!$A$7:$A$21,0)),0.26),2),0))))</f>
        <v/>
      </c>
      <c r="L951" s="135" t="str">
        <f>IF(B951="","",IF(B951="Acquisto",-(J951+N(G951)),J951-N(G951)-K951))</f>
        <v/>
      </c>
      <c r="M951" s="127" t="str">
        <f>IF(B951="","",IF(ISNA(MATCH(C951,ETF!$A$7:$A$21,0)),"ETF?",IF(NOT(ISNUMBER(A951)),"Data?",IF(AND(B951&lt;&gt;"Dividendo",N(D951)&lt;=0),"Quote?",IF(AND(B951="Vendita",N(D951)&gt;N(Q951)+0.000001),"Quote?",IF(J951&lt;=0,"Importo?","✓"))))))</f>
        <v/>
      </c>
      <c r="N951" t="str">
        <f>IF(OR(B951="Acquisto",B951="Vendita"),COUNTIFS($C$5:C951,C951,$B$5:B951,"Acquisto")+COUNTIFS($C$5:C951,C951,$B$5:B951,"Vendita"),"")</f>
        <v/>
      </c>
      <c r="O951" t="str">
        <f>IF(N951="","",C951&amp;"|"&amp;N951)</f>
        <v/>
      </c>
      <c r="P951" t="str">
        <f>IF(N951="","",IF(N951=1,0,MATCH(C951&amp;"|"&amp;(N951-1),$O$5:$O$1004,0)))</f>
        <v/>
      </c>
      <c r="Q951" t="str">
        <f>IF(N951="","",IF(P951=0,SUMIFS(Calcoli!$C$7:$C$21,Calcoli!$A$7:$A$21,C951),INDEX($S$5:$S$1004,P951)))</f>
        <v/>
      </c>
      <c r="R951" t="str">
        <f>IF(N951="","",IF(P951=0,SUMIFS(Calcoli!$D$7:$D$21,Calcoli!$A$7:$A$21,C951),INDEX($T$5:$T$1004,P951)))</f>
        <v/>
      </c>
      <c r="S951" t="str">
        <f>IF(N951="","",IF(B951="Acquisto",Q951+N(D951),MAX(0,Q951-N(D951))))</f>
        <v/>
      </c>
      <c r="T951" t="str">
        <f>IF(N951="","",IF(B951="Acquisto",R951+J951+N(G951),IF(Q951&lt;=0,0,R951*(1-MIN(1,N(D951)/Q951)))))</f>
        <v/>
      </c>
      <c r="U951" t="str">
        <f>IF(B951&lt;&gt;"Vendita","",J951-N(G951)-IF(Q951&lt;=0,0,R951*MIN(1,N(D951)/Q951)))</f>
        <v/>
      </c>
      <c r="V951" t="str">
        <f>IF(B951&lt;&gt;"Dividendo","",IF(Calcoli!$B$251=1,J951,L951))</f>
        <v/>
      </c>
      <c r="W951" t="str">
        <f>IF(AND(V951&lt;&gt;"",ISNUMBER(A951)),A951,"")</f>
        <v/>
      </c>
    </row>
    <row r="952">
      <c r="A952" s="134" t="n"/>
      <c r="B952" s="116" t="n"/>
      <c r="C952" s="116" t="n"/>
      <c r="D952" s="121" t="n"/>
      <c r="E952" s="120" t="n"/>
      <c r="F952" s="120" t="n"/>
      <c r="G952" s="120" t="n"/>
      <c r="H952" s="120" t="n"/>
      <c r="I952" s="117" t="n"/>
      <c r="J952" s="123" t="str">
        <f>IF(B952="","",IF(F952&lt;&gt;"",N(F952),ROUND(N(D952)*N(E952),2)))</f>
        <v/>
      </c>
      <c r="K952" s="123" t="str">
        <f>IF(B952="","",IF(H952&lt;&gt;"",N(H952),IF(B952="Dividendo",ROUND(J952*IFERROR(INDEX(Calcoli!$V$7:$V$21,MATCH(C952,Calcoli!$A$7:$A$21,0)),0.26),2),IF(B952="Vendita",ROUND(MAX(0,U952)*IFERROR(INDEX(Calcoli!$V$7:$V$21,MATCH(C952,Calcoli!$A$7:$A$21,0)),0.26),2),0))))</f>
        <v/>
      </c>
      <c r="L952" s="135" t="str">
        <f>IF(B952="","",IF(B952="Acquisto",-(J952+N(G952)),J952-N(G952)-K952))</f>
        <v/>
      </c>
      <c r="M952" s="127" t="str">
        <f>IF(B952="","",IF(ISNA(MATCH(C952,ETF!$A$7:$A$21,0)),"ETF?",IF(NOT(ISNUMBER(A952)),"Data?",IF(AND(B952&lt;&gt;"Dividendo",N(D952)&lt;=0),"Quote?",IF(AND(B952="Vendita",N(D952)&gt;N(Q952)+0.000001),"Quote?",IF(J952&lt;=0,"Importo?","✓"))))))</f>
        <v/>
      </c>
      <c r="N952" t="str">
        <f>IF(OR(B952="Acquisto",B952="Vendita"),COUNTIFS($C$5:C952,C952,$B$5:B952,"Acquisto")+COUNTIFS($C$5:C952,C952,$B$5:B952,"Vendita"),"")</f>
        <v/>
      </c>
      <c r="O952" t="str">
        <f>IF(N952="","",C952&amp;"|"&amp;N952)</f>
        <v/>
      </c>
      <c r="P952" t="str">
        <f>IF(N952="","",IF(N952=1,0,MATCH(C952&amp;"|"&amp;(N952-1),$O$5:$O$1004,0)))</f>
        <v/>
      </c>
      <c r="Q952" t="str">
        <f>IF(N952="","",IF(P952=0,SUMIFS(Calcoli!$C$7:$C$21,Calcoli!$A$7:$A$21,C952),INDEX($S$5:$S$1004,P952)))</f>
        <v/>
      </c>
      <c r="R952" t="str">
        <f>IF(N952="","",IF(P952=0,SUMIFS(Calcoli!$D$7:$D$21,Calcoli!$A$7:$A$21,C952),INDEX($T$5:$T$1004,P952)))</f>
        <v/>
      </c>
      <c r="S952" t="str">
        <f>IF(N952="","",IF(B952="Acquisto",Q952+N(D952),MAX(0,Q952-N(D952))))</f>
        <v/>
      </c>
      <c r="T952" t="str">
        <f>IF(N952="","",IF(B952="Acquisto",R952+J952+N(G952),IF(Q952&lt;=0,0,R952*(1-MIN(1,N(D952)/Q952)))))</f>
        <v/>
      </c>
      <c r="U952" t="str">
        <f>IF(B952&lt;&gt;"Vendita","",J952-N(G952)-IF(Q952&lt;=0,0,R952*MIN(1,N(D952)/Q952)))</f>
        <v/>
      </c>
      <c r="V952" t="str">
        <f>IF(B952&lt;&gt;"Dividendo","",IF(Calcoli!$B$251=1,J952,L952))</f>
        <v/>
      </c>
      <c r="W952" t="str">
        <f>IF(AND(V952&lt;&gt;"",ISNUMBER(A952)),A952,"")</f>
        <v/>
      </c>
    </row>
    <row r="953">
      <c r="A953" s="134" t="n"/>
      <c r="B953" s="116" t="n"/>
      <c r="C953" s="116" t="n"/>
      <c r="D953" s="121" t="n"/>
      <c r="E953" s="120" t="n"/>
      <c r="F953" s="120" t="n"/>
      <c r="G953" s="120" t="n"/>
      <c r="H953" s="120" t="n"/>
      <c r="I953" s="117" t="n"/>
      <c r="J953" s="123" t="str">
        <f>IF(B953="","",IF(F953&lt;&gt;"",N(F953),ROUND(N(D953)*N(E953),2)))</f>
        <v/>
      </c>
      <c r="K953" s="123" t="str">
        <f>IF(B953="","",IF(H953&lt;&gt;"",N(H953),IF(B953="Dividendo",ROUND(J953*IFERROR(INDEX(Calcoli!$V$7:$V$21,MATCH(C953,Calcoli!$A$7:$A$21,0)),0.26),2),IF(B953="Vendita",ROUND(MAX(0,U953)*IFERROR(INDEX(Calcoli!$V$7:$V$21,MATCH(C953,Calcoli!$A$7:$A$21,0)),0.26),2),0))))</f>
        <v/>
      </c>
      <c r="L953" s="135" t="str">
        <f>IF(B953="","",IF(B953="Acquisto",-(J953+N(G953)),J953-N(G953)-K953))</f>
        <v/>
      </c>
      <c r="M953" s="127" t="str">
        <f>IF(B953="","",IF(ISNA(MATCH(C953,ETF!$A$7:$A$21,0)),"ETF?",IF(NOT(ISNUMBER(A953)),"Data?",IF(AND(B953&lt;&gt;"Dividendo",N(D953)&lt;=0),"Quote?",IF(AND(B953="Vendita",N(D953)&gt;N(Q953)+0.000001),"Quote?",IF(J953&lt;=0,"Importo?","✓"))))))</f>
        <v/>
      </c>
      <c r="N953" t="str">
        <f>IF(OR(B953="Acquisto",B953="Vendita"),COUNTIFS($C$5:C953,C953,$B$5:B953,"Acquisto")+COUNTIFS($C$5:C953,C953,$B$5:B953,"Vendita"),"")</f>
        <v/>
      </c>
      <c r="O953" t="str">
        <f>IF(N953="","",C953&amp;"|"&amp;N953)</f>
        <v/>
      </c>
      <c r="P953" t="str">
        <f>IF(N953="","",IF(N953=1,0,MATCH(C953&amp;"|"&amp;(N953-1),$O$5:$O$1004,0)))</f>
        <v/>
      </c>
      <c r="Q953" t="str">
        <f>IF(N953="","",IF(P953=0,SUMIFS(Calcoli!$C$7:$C$21,Calcoli!$A$7:$A$21,C953),INDEX($S$5:$S$1004,P953)))</f>
        <v/>
      </c>
      <c r="R953" t="str">
        <f>IF(N953="","",IF(P953=0,SUMIFS(Calcoli!$D$7:$D$21,Calcoli!$A$7:$A$21,C953),INDEX($T$5:$T$1004,P953)))</f>
        <v/>
      </c>
      <c r="S953" t="str">
        <f>IF(N953="","",IF(B953="Acquisto",Q953+N(D953),MAX(0,Q953-N(D953))))</f>
        <v/>
      </c>
      <c r="T953" t="str">
        <f>IF(N953="","",IF(B953="Acquisto",R953+J953+N(G953),IF(Q953&lt;=0,0,R953*(1-MIN(1,N(D953)/Q953)))))</f>
        <v/>
      </c>
      <c r="U953" t="str">
        <f>IF(B953&lt;&gt;"Vendita","",J953-N(G953)-IF(Q953&lt;=0,0,R953*MIN(1,N(D953)/Q953)))</f>
        <v/>
      </c>
      <c r="V953" t="str">
        <f>IF(B953&lt;&gt;"Dividendo","",IF(Calcoli!$B$251=1,J953,L953))</f>
        <v/>
      </c>
      <c r="W953" t="str">
        <f>IF(AND(V953&lt;&gt;"",ISNUMBER(A953)),A953,"")</f>
        <v/>
      </c>
    </row>
    <row r="954">
      <c r="A954" s="134" t="n"/>
      <c r="B954" s="116" t="n"/>
      <c r="C954" s="116" t="n"/>
      <c r="D954" s="121" t="n"/>
      <c r="E954" s="120" t="n"/>
      <c r="F954" s="120" t="n"/>
      <c r="G954" s="120" t="n"/>
      <c r="H954" s="120" t="n"/>
      <c r="I954" s="117" t="n"/>
      <c r="J954" s="123" t="str">
        <f>IF(B954="","",IF(F954&lt;&gt;"",N(F954),ROUND(N(D954)*N(E954),2)))</f>
        <v/>
      </c>
      <c r="K954" s="123" t="str">
        <f>IF(B954="","",IF(H954&lt;&gt;"",N(H954),IF(B954="Dividendo",ROUND(J954*IFERROR(INDEX(Calcoli!$V$7:$V$21,MATCH(C954,Calcoli!$A$7:$A$21,0)),0.26),2),IF(B954="Vendita",ROUND(MAX(0,U954)*IFERROR(INDEX(Calcoli!$V$7:$V$21,MATCH(C954,Calcoli!$A$7:$A$21,0)),0.26),2),0))))</f>
        <v/>
      </c>
      <c r="L954" s="135" t="str">
        <f>IF(B954="","",IF(B954="Acquisto",-(J954+N(G954)),J954-N(G954)-K954))</f>
        <v/>
      </c>
      <c r="M954" s="127" t="str">
        <f>IF(B954="","",IF(ISNA(MATCH(C954,ETF!$A$7:$A$21,0)),"ETF?",IF(NOT(ISNUMBER(A954)),"Data?",IF(AND(B954&lt;&gt;"Dividendo",N(D954)&lt;=0),"Quote?",IF(AND(B954="Vendita",N(D954)&gt;N(Q954)+0.000001),"Quote?",IF(J954&lt;=0,"Importo?","✓"))))))</f>
        <v/>
      </c>
      <c r="N954" t="str">
        <f>IF(OR(B954="Acquisto",B954="Vendita"),COUNTIFS($C$5:C954,C954,$B$5:B954,"Acquisto")+COUNTIFS($C$5:C954,C954,$B$5:B954,"Vendita"),"")</f>
        <v/>
      </c>
      <c r="O954" t="str">
        <f>IF(N954="","",C954&amp;"|"&amp;N954)</f>
        <v/>
      </c>
      <c r="P954" t="str">
        <f>IF(N954="","",IF(N954=1,0,MATCH(C954&amp;"|"&amp;(N954-1),$O$5:$O$1004,0)))</f>
        <v/>
      </c>
      <c r="Q954" t="str">
        <f>IF(N954="","",IF(P954=0,SUMIFS(Calcoli!$C$7:$C$21,Calcoli!$A$7:$A$21,C954),INDEX($S$5:$S$1004,P954)))</f>
        <v/>
      </c>
      <c r="R954" t="str">
        <f>IF(N954="","",IF(P954=0,SUMIFS(Calcoli!$D$7:$D$21,Calcoli!$A$7:$A$21,C954),INDEX($T$5:$T$1004,P954)))</f>
        <v/>
      </c>
      <c r="S954" t="str">
        <f>IF(N954="","",IF(B954="Acquisto",Q954+N(D954),MAX(0,Q954-N(D954))))</f>
        <v/>
      </c>
      <c r="T954" t="str">
        <f>IF(N954="","",IF(B954="Acquisto",R954+J954+N(G954),IF(Q954&lt;=0,0,R954*(1-MIN(1,N(D954)/Q954)))))</f>
        <v/>
      </c>
      <c r="U954" t="str">
        <f>IF(B954&lt;&gt;"Vendita","",J954-N(G954)-IF(Q954&lt;=0,0,R954*MIN(1,N(D954)/Q954)))</f>
        <v/>
      </c>
      <c r="V954" t="str">
        <f>IF(B954&lt;&gt;"Dividendo","",IF(Calcoli!$B$251=1,J954,L954))</f>
        <v/>
      </c>
      <c r="W954" t="str">
        <f>IF(AND(V954&lt;&gt;"",ISNUMBER(A954)),A954,"")</f>
        <v/>
      </c>
    </row>
    <row r="955">
      <c r="A955" s="134" t="n"/>
      <c r="B955" s="116" t="n"/>
      <c r="C955" s="116" t="n"/>
      <c r="D955" s="121" t="n"/>
      <c r="E955" s="120" t="n"/>
      <c r="F955" s="120" t="n"/>
      <c r="G955" s="120" t="n"/>
      <c r="H955" s="120" t="n"/>
      <c r="I955" s="117" t="n"/>
      <c r="J955" s="123" t="str">
        <f>IF(B955="","",IF(F955&lt;&gt;"",N(F955),ROUND(N(D955)*N(E955),2)))</f>
        <v/>
      </c>
      <c r="K955" s="123" t="str">
        <f>IF(B955="","",IF(H955&lt;&gt;"",N(H955),IF(B955="Dividendo",ROUND(J955*IFERROR(INDEX(Calcoli!$V$7:$V$21,MATCH(C955,Calcoli!$A$7:$A$21,0)),0.26),2),IF(B955="Vendita",ROUND(MAX(0,U955)*IFERROR(INDEX(Calcoli!$V$7:$V$21,MATCH(C955,Calcoli!$A$7:$A$21,0)),0.26),2),0))))</f>
        <v/>
      </c>
      <c r="L955" s="135" t="str">
        <f>IF(B955="","",IF(B955="Acquisto",-(J955+N(G955)),J955-N(G955)-K955))</f>
        <v/>
      </c>
      <c r="M955" s="127" t="str">
        <f>IF(B955="","",IF(ISNA(MATCH(C955,ETF!$A$7:$A$21,0)),"ETF?",IF(NOT(ISNUMBER(A955)),"Data?",IF(AND(B955&lt;&gt;"Dividendo",N(D955)&lt;=0),"Quote?",IF(AND(B955="Vendita",N(D955)&gt;N(Q955)+0.000001),"Quote?",IF(J955&lt;=0,"Importo?","✓"))))))</f>
        <v/>
      </c>
      <c r="N955" t="str">
        <f>IF(OR(B955="Acquisto",B955="Vendita"),COUNTIFS($C$5:C955,C955,$B$5:B955,"Acquisto")+COUNTIFS($C$5:C955,C955,$B$5:B955,"Vendita"),"")</f>
        <v/>
      </c>
      <c r="O955" t="str">
        <f>IF(N955="","",C955&amp;"|"&amp;N955)</f>
        <v/>
      </c>
      <c r="P955" t="str">
        <f>IF(N955="","",IF(N955=1,0,MATCH(C955&amp;"|"&amp;(N955-1),$O$5:$O$1004,0)))</f>
        <v/>
      </c>
      <c r="Q955" t="str">
        <f>IF(N955="","",IF(P955=0,SUMIFS(Calcoli!$C$7:$C$21,Calcoli!$A$7:$A$21,C955),INDEX($S$5:$S$1004,P955)))</f>
        <v/>
      </c>
      <c r="R955" t="str">
        <f>IF(N955="","",IF(P955=0,SUMIFS(Calcoli!$D$7:$D$21,Calcoli!$A$7:$A$21,C955),INDEX($T$5:$T$1004,P955)))</f>
        <v/>
      </c>
      <c r="S955" t="str">
        <f>IF(N955="","",IF(B955="Acquisto",Q955+N(D955),MAX(0,Q955-N(D955))))</f>
        <v/>
      </c>
      <c r="T955" t="str">
        <f>IF(N955="","",IF(B955="Acquisto",R955+J955+N(G955),IF(Q955&lt;=0,0,R955*(1-MIN(1,N(D955)/Q955)))))</f>
        <v/>
      </c>
      <c r="U955" t="str">
        <f>IF(B955&lt;&gt;"Vendita","",J955-N(G955)-IF(Q955&lt;=0,0,R955*MIN(1,N(D955)/Q955)))</f>
        <v/>
      </c>
      <c r="V955" t="str">
        <f>IF(B955&lt;&gt;"Dividendo","",IF(Calcoli!$B$251=1,J955,L955))</f>
        <v/>
      </c>
      <c r="W955" t="str">
        <f>IF(AND(V955&lt;&gt;"",ISNUMBER(A955)),A955,"")</f>
        <v/>
      </c>
    </row>
    <row r="956">
      <c r="A956" s="134" t="n"/>
      <c r="B956" s="116" t="n"/>
      <c r="C956" s="116" t="n"/>
      <c r="D956" s="121" t="n"/>
      <c r="E956" s="120" t="n"/>
      <c r="F956" s="120" t="n"/>
      <c r="G956" s="120" t="n"/>
      <c r="H956" s="120" t="n"/>
      <c r="I956" s="117" t="n"/>
      <c r="J956" s="123" t="str">
        <f>IF(B956="","",IF(F956&lt;&gt;"",N(F956),ROUND(N(D956)*N(E956),2)))</f>
        <v/>
      </c>
      <c r="K956" s="123" t="str">
        <f>IF(B956="","",IF(H956&lt;&gt;"",N(H956),IF(B956="Dividendo",ROUND(J956*IFERROR(INDEX(Calcoli!$V$7:$V$21,MATCH(C956,Calcoli!$A$7:$A$21,0)),0.26),2),IF(B956="Vendita",ROUND(MAX(0,U956)*IFERROR(INDEX(Calcoli!$V$7:$V$21,MATCH(C956,Calcoli!$A$7:$A$21,0)),0.26),2),0))))</f>
        <v/>
      </c>
      <c r="L956" s="135" t="str">
        <f>IF(B956="","",IF(B956="Acquisto",-(J956+N(G956)),J956-N(G956)-K956))</f>
        <v/>
      </c>
      <c r="M956" s="127" t="str">
        <f>IF(B956="","",IF(ISNA(MATCH(C956,ETF!$A$7:$A$21,0)),"ETF?",IF(NOT(ISNUMBER(A956)),"Data?",IF(AND(B956&lt;&gt;"Dividendo",N(D956)&lt;=0),"Quote?",IF(AND(B956="Vendita",N(D956)&gt;N(Q956)+0.000001),"Quote?",IF(J956&lt;=0,"Importo?","✓"))))))</f>
        <v/>
      </c>
      <c r="N956" t="str">
        <f>IF(OR(B956="Acquisto",B956="Vendita"),COUNTIFS($C$5:C956,C956,$B$5:B956,"Acquisto")+COUNTIFS($C$5:C956,C956,$B$5:B956,"Vendita"),"")</f>
        <v/>
      </c>
      <c r="O956" t="str">
        <f>IF(N956="","",C956&amp;"|"&amp;N956)</f>
        <v/>
      </c>
      <c r="P956" t="str">
        <f>IF(N956="","",IF(N956=1,0,MATCH(C956&amp;"|"&amp;(N956-1),$O$5:$O$1004,0)))</f>
        <v/>
      </c>
      <c r="Q956" t="str">
        <f>IF(N956="","",IF(P956=0,SUMIFS(Calcoli!$C$7:$C$21,Calcoli!$A$7:$A$21,C956),INDEX($S$5:$S$1004,P956)))</f>
        <v/>
      </c>
      <c r="R956" t="str">
        <f>IF(N956="","",IF(P956=0,SUMIFS(Calcoli!$D$7:$D$21,Calcoli!$A$7:$A$21,C956),INDEX($T$5:$T$1004,P956)))</f>
        <v/>
      </c>
      <c r="S956" t="str">
        <f>IF(N956="","",IF(B956="Acquisto",Q956+N(D956),MAX(0,Q956-N(D956))))</f>
        <v/>
      </c>
      <c r="T956" t="str">
        <f>IF(N956="","",IF(B956="Acquisto",R956+J956+N(G956),IF(Q956&lt;=0,0,R956*(1-MIN(1,N(D956)/Q956)))))</f>
        <v/>
      </c>
      <c r="U956" t="str">
        <f>IF(B956&lt;&gt;"Vendita","",J956-N(G956)-IF(Q956&lt;=0,0,R956*MIN(1,N(D956)/Q956)))</f>
        <v/>
      </c>
      <c r="V956" t="str">
        <f>IF(B956&lt;&gt;"Dividendo","",IF(Calcoli!$B$251=1,J956,L956))</f>
        <v/>
      </c>
      <c r="W956" t="str">
        <f>IF(AND(V956&lt;&gt;"",ISNUMBER(A956)),A956,"")</f>
        <v/>
      </c>
    </row>
    <row r="957">
      <c r="A957" s="134" t="n"/>
      <c r="B957" s="116" t="n"/>
      <c r="C957" s="116" t="n"/>
      <c r="D957" s="121" t="n"/>
      <c r="E957" s="120" t="n"/>
      <c r="F957" s="120" t="n"/>
      <c r="G957" s="120" t="n"/>
      <c r="H957" s="120" t="n"/>
      <c r="I957" s="117" t="n"/>
      <c r="J957" s="123" t="str">
        <f>IF(B957="","",IF(F957&lt;&gt;"",N(F957),ROUND(N(D957)*N(E957),2)))</f>
        <v/>
      </c>
      <c r="K957" s="123" t="str">
        <f>IF(B957="","",IF(H957&lt;&gt;"",N(H957),IF(B957="Dividendo",ROUND(J957*IFERROR(INDEX(Calcoli!$V$7:$V$21,MATCH(C957,Calcoli!$A$7:$A$21,0)),0.26),2),IF(B957="Vendita",ROUND(MAX(0,U957)*IFERROR(INDEX(Calcoli!$V$7:$V$21,MATCH(C957,Calcoli!$A$7:$A$21,0)),0.26),2),0))))</f>
        <v/>
      </c>
      <c r="L957" s="135" t="str">
        <f>IF(B957="","",IF(B957="Acquisto",-(J957+N(G957)),J957-N(G957)-K957))</f>
        <v/>
      </c>
      <c r="M957" s="127" t="str">
        <f>IF(B957="","",IF(ISNA(MATCH(C957,ETF!$A$7:$A$21,0)),"ETF?",IF(NOT(ISNUMBER(A957)),"Data?",IF(AND(B957&lt;&gt;"Dividendo",N(D957)&lt;=0),"Quote?",IF(AND(B957="Vendita",N(D957)&gt;N(Q957)+0.000001),"Quote?",IF(J957&lt;=0,"Importo?","✓"))))))</f>
        <v/>
      </c>
      <c r="N957" t="str">
        <f>IF(OR(B957="Acquisto",B957="Vendita"),COUNTIFS($C$5:C957,C957,$B$5:B957,"Acquisto")+COUNTIFS($C$5:C957,C957,$B$5:B957,"Vendita"),"")</f>
        <v/>
      </c>
      <c r="O957" t="str">
        <f>IF(N957="","",C957&amp;"|"&amp;N957)</f>
        <v/>
      </c>
      <c r="P957" t="str">
        <f>IF(N957="","",IF(N957=1,0,MATCH(C957&amp;"|"&amp;(N957-1),$O$5:$O$1004,0)))</f>
        <v/>
      </c>
      <c r="Q957" t="str">
        <f>IF(N957="","",IF(P957=0,SUMIFS(Calcoli!$C$7:$C$21,Calcoli!$A$7:$A$21,C957),INDEX($S$5:$S$1004,P957)))</f>
        <v/>
      </c>
      <c r="R957" t="str">
        <f>IF(N957="","",IF(P957=0,SUMIFS(Calcoli!$D$7:$D$21,Calcoli!$A$7:$A$21,C957),INDEX($T$5:$T$1004,P957)))</f>
        <v/>
      </c>
      <c r="S957" t="str">
        <f>IF(N957="","",IF(B957="Acquisto",Q957+N(D957),MAX(0,Q957-N(D957))))</f>
        <v/>
      </c>
      <c r="T957" t="str">
        <f>IF(N957="","",IF(B957="Acquisto",R957+J957+N(G957),IF(Q957&lt;=0,0,R957*(1-MIN(1,N(D957)/Q957)))))</f>
        <v/>
      </c>
      <c r="U957" t="str">
        <f>IF(B957&lt;&gt;"Vendita","",J957-N(G957)-IF(Q957&lt;=0,0,R957*MIN(1,N(D957)/Q957)))</f>
        <v/>
      </c>
      <c r="V957" t="str">
        <f>IF(B957&lt;&gt;"Dividendo","",IF(Calcoli!$B$251=1,J957,L957))</f>
        <v/>
      </c>
      <c r="W957" t="str">
        <f>IF(AND(V957&lt;&gt;"",ISNUMBER(A957)),A957,"")</f>
        <v/>
      </c>
    </row>
    <row r="958">
      <c r="A958" s="134" t="n"/>
      <c r="B958" s="116" t="n"/>
      <c r="C958" s="116" t="n"/>
      <c r="D958" s="121" t="n"/>
      <c r="E958" s="120" t="n"/>
      <c r="F958" s="120" t="n"/>
      <c r="G958" s="120" t="n"/>
      <c r="H958" s="120" t="n"/>
      <c r="I958" s="117" t="n"/>
      <c r="J958" s="123" t="str">
        <f>IF(B958="","",IF(F958&lt;&gt;"",N(F958),ROUND(N(D958)*N(E958),2)))</f>
        <v/>
      </c>
      <c r="K958" s="123" t="str">
        <f>IF(B958="","",IF(H958&lt;&gt;"",N(H958),IF(B958="Dividendo",ROUND(J958*IFERROR(INDEX(Calcoli!$V$7:$V$21,MATCH(C958,Calcoli!$A$7:$A$21,0)),0.26),2),IF(B958="Vendita",ROUND(MAX(0,U958)*IFERROR(INDEX(Calcoli!$V$7:$V$21,MATCH(C958,Calcoli!$A$7:$A$21,0)),0.26),2),0))))</f>
        <v/>
      </c>
      <c r="L958" s="135" t="str">
        <f>IF(B958="","",IF(B958="Acquisto",-(J958+N(G958)),J958-N(G958)-K958))</f>
        <v/>
      </c>
      <c r="M958" s="127" t="str">
        <f>IF(B958="","",IF(ISNA(MATCH(C958,ETF!$A$7:$A$21,0)),"ETF?",IF(NOT(ISNUMBER(A958)),"Data?",IF(AND(B958&lt;&gt;"Dividendo",N(D958)&lt;=0),"Quote?",IF(AND(B958="Vendita",N(D958)&gt;N(Q958)+0.000001),"Quote?",IF(J958&lt;=0,"Importo?","✓"))))))</f>
        <v/>
      </c>
      <c r="N958" t="str">
        <f>IF(OR(B958="Acquisto",B958="Vendita"),COUNTIFS($C$5:C958,C958,$B$5:B958,"Acquisto")+COUNTIFS($C$5:C958,C958,$B$5:B958,"Vendita"),"")</f>
        <v/>
      </c>
      <c r="O958" t="str">
        <f>IF(N958="","",C958&amp;"|"&amp;N958)</f>
        <v/>
      </c>
      <c r="P958" t="str">
        <f>IF(N958="","",IF(N958=1,0,MATCH(C958&amp;"|"&amp;(N958-1),$O$5:$O$1004,0)))</f>
        <v/>
      </c>
      <c r="Q958" t="str">
        <f>IF(N958="","",IF(P958=0,SUMIFS(Calcoli!$C$7:$C$21,Calcoli!$A$7:$A$21,C958),INDEX($S$5:$S$1004,P958)))</f>
        <v/>
      </c>
      <c r="R958" t="str">
        <f>IF(N958="","",IF(P958=0,SUMIFS(Calcoli!$D$7:$D$21,Calcoli!$A$7:$A$21,C958),INDEX($T$5:$T$1004,P958)))</f>
        <v/>
      </c>
      <c r="S958" t="str">
        <f>IF(N958="","",IF(B958="Acquisto",Q958+N(D958),MAX(0,Q958-N(D958))))</f>
        <v/>
      </c>
      <c r="T958" t="str">
        <f>IF(N958="","",IF(B958="Acquisto",R958+J958+N(G958),IF(Q958&lt;=0,0,R958*(1-MIN(1,N(D958)/Q958)))))</f>
        <v/>
      </c>
      <c r="U958" t="str">
        <f>IF(B958&lt;&gt;"Vendita","",J958-N(G958)-IF(Q958&lt;=0,0,R958*MIN(1,N(D958)/Q958)))</f>
        <v/>
      </c>
      <c r="V958" t="str">
        <f>IF(B958&lt;&gt;"Dividendo","",IF(Calcoli!$B$251=1,J958,L958))</f>
        <v/>
      </c>
      <c r="W958" t="str">
        <f>IF(AND(V958&lt;&gt;"",ISNUMBER(A958)),A958,"")</f>
        <v/>
      </c>
    </row>
    <row r="959">
      <c r="A959" s="134" t="n"/>
      <c r="B959" s="116" t="n"/>
      <c r="C959" s="116" t="n"/>
      <c r="D959" s="121" t="n"/>
      <c r="E959" s="120" t="n"/>
      <c r="F959" s="120" t="n"/>
      <c r="G959" s="120" t="n"/>
      <c r="H959" s="120" t="n"/>
      <c r="I959" s="117" t="n"/>
      <c r="J959" s="123" t="str">
        <f>IF(B959="","",IF(F959&lt;&gt;"",N(F959),ROUND(N(D959)*N(E959),2)))</f>
        <v/>
      </c>
      <c r="K959" s="123" t="str">
        <f>IF(B959="","",IF(H959&lt;&gt;"",N(H959),IF(B959="Dividendo",ROUND(J959*IFERROR(INDEX(Calcoli!$V$7:$V$21,MATCH(C959,Calcoli!$A$7:$A$21,0)),0.26),2),IF(B959="Vendita",ROUND(MAX(0,U959)*IFERROR(INDEX(Calcoli!$V$7:$V$21,MATCH(C959,Calcoli!$A$7:$A$21,0)),0.26),2),0))))</f>
        <v/>
      </c>
      <c r="L959" s="135" t="str">
        <f>IF(B959="","",IF(B959="Acquisto",-(J959+N(G959)),J959-N(G959)-K959))</f>
        <v/>
      </c>
      <c r="M959" s="127" t="str">
        <f>IF(B959="","",IF(ISNA(MATCH(C959,ETF!$A$7:$A$21,0)),"ETF?",IF(NOT(ISNUMBER(A959)),"Data?",IF(AND(B959&lt;&gt;"Dividendo",N(D959)&lt;=0),"Quote?",IF(AND(B959="Vendita",N(D959)&gt;N(Q959)+0.000001),"Quote?",IF(J959&lt;=0,"Importo?","✓"))))))</f>
        <v/>
      </c>
      <c r="N959" t="str">
        <f>IF(OR(B959="Acquisto",B959="Vendita"),COUNTIFS($C$5:C959,C959,$B$5:B959,"Acquisto")+COUNTIFS($C$5:C959,C959,$B$5:B959,"Vendita"),"")</f>
        <v/>
      </c>
      <c r="O959" t="str">
        <f>IF(N959="","",C959&amp;"|"&amp;N959)</f>
        <v/>
      </c>
      <c r="P959" t="str">
        <f>IF(N959="","",IF(N959=1,0,MATCH(C959&amp;"|"&amp;(N959-1),$O$5:$O$1004,0)))</f>
        <v/>
      </c>
      <c r="Q959" t="str">
        <f>IF(N959="","",IF(P959=0,SUMIFS(Calcoli!$C$7:$C$21,Calcoli!$A$7:$A$21,C959),INDEX($S$5:$S$1004,P959)))</f>
        <v/>
      </c>
      <c r="R959" t="str">
        <f>IF(N959="","",IF(P959=0,SUMIFS(Calcoli!$D$7:$D$21,Calcoli!$A$7:$A$21,C959),INDEX($T$5:$T$1004,P959)))</f>
        <v/>
      </c>
      <c r="S959" t="str">
        <f>IF(N959="","",IF(B959="Acquisto",Q959+N(D959),MAX(0,Q959-N(D959))))</f>
        <v/>
      </c>
      <c r="T959" t="str">
        <f>IF(N959="","",IF(B959="Acquisto",R959+J959+N(G959),IF(Q959&lt;=0,0,R959*(1-MIN(1,N(D959)/Q959)))))</f>
        <v/>
      </c>
      <c r="U959" t="str">
        <f>IF(B959&lt;&gt;"Vendita","",J959-N(G959)-IF(Q959&lt;=0,0,R959*MIN(1,N(D959)/Q959)))</f>
        <v/>
      </c>
      <c r="V959" t="str">
        <f>IF(B959&lt;&gt;"Dividendo","",IF(Calcoli!$B$251=1,J959,L959))</f>
        <v/>
      </c>
      <c r="W959" t="str">
        <f>IF(AND(V959&lt;&gt;"",ISNUMBER(A959)),A959,"")</f>
        <v/>
      </c>
    </row>
    <row r="960">
      <c r="A960" s="134" t="n"/>
      <c r="B960" s="116" t="n"/>
      <c r="C960" s="116" t="n"/>
      <c r="D960" s="121" t="n"/>
      <c r="E960" s="120" t="n"/>
      <c r="F960" s="120" t="n"/>
      <c r="G960" s="120" t="n"/>
      <c r="H960" s="120" t="n"/>
      <c r="I960" s="117" t="n"/>
      <c r="J960" s="123" t="str">
        <f>IF(B960="","",IF(F960&lt;&gt;"",N(F960),ROUND(N(D960)*N(E960),2)))</f>
        <v/>
      </c>
      <c r="K960" s="123" t="str">
        <f>IF(B960="","",IF(H960&lt;&gt;"",N(H960),IF(B960="Dividendo",ROUND(J960*IFERROR(INDEX(Calcoli!$V$7:$V$21,MATCH(C960,Calcoli!$A$7:$A$21,0)),0.26),2),IF(B960="Vendita",ROUND(MAX(0,U960)*IFERROR(INDEX(Calcoli!$V$7:$V$21,MATCH(C960,Calcoli!$A$7:$A$21,0)),0.26),2),0))))</f>
        <v/>
      </c>
      <c r="L960" s="135" t="str">
        <f>IF(B960="","",IF(B960="Acquisto",-(J960+N(G960)),J960-N(G960)-K960))</f>
        <v/>
      </c>
      <c r="M960" s="127" t="str">
        <f>IF(B960="","",IF(ISNA(MATCH(C960,ETF!$A$7:$A$21,0)),"ETF?",IF(NOT(ISNUMBER(A960)),"Data?",IF(AND(B960&lt;&gt;"Dividendo",N(D960)&lt;=0),"Quote?",IF(AND(B960="Vendita",N(D960)&gt;N(Q960)+0.000001),"Quote?",IF(J960&lt;=0,"Importo?","✓"))))))</f>
        <v/>
      </c>
      <c r="N960" t="str">
        <f>IF(OR(B960="Acquisto",B960="Vendita"),COUNTIFS($C$5:C960,C960,$B$5:B960,"Acquisto")+COUNTIFS($C$5:C960,C960,$B$5:B960,"Vendita"),"")</f>
        <v/>
      </c>
      <c r="O960" t="str">
        <f>IF(N960="","",C960&amp;"|"&amp;N960)</f>
        <v/>
      </c>
      <c r="P960" t="str">
        <f>IF(N960="","",IF(N960=1,0,MATCH(C960&amp;"|"&amp;(N960-1),$O$5:$O$1004,0)))</f>
        <v/>
      </c>
      <c r="Q960" t="str">
        <f>IF(N960="","",IF(P960=0,SUMIFS(Calcoli!$C$7:$C$21,Calcoli!$A$7:$A$21,C960),INDEX($S$5:$S$1004,P960)))</f>
        <v/>
      </c>
      <c r="R960" t="str">
        <f>IF(N960="","",IF(P960=0,SUMIFS(Calcoli!$D$7:$D$21,Calcoli!$A$7:$A$21,C960),INDEX($T$5:$T$1004,P960)))</f>
        <v/>
      </c>
      <c r="S960" t="str">
        <f>IF(N960="","",IF(B960="Acquisto",Q960+N(D960),MAX(0,Q960-N(D960))))</f>
        <v/>
      </c>
      <c r="T960" t="str">
        <f>IF(N960="","",IF(B960="Acquisto",R960+J960+N(G960),IF(Q960&lt;=0,0,R960*(1-MIN(1,N(D960)/Q960)))))</f>
        <v/>
      </c>
      <c r="U960" t="str">
        <f>IF(B960&lt;&gt;"Vendita","",J960-N(G960)-IF(Q960&lt;=0,0,R960*MIN(1,N(D960)/Q960)))</f>
        <v/>
      </c>
      <c r="V960" t="str">
        <f>IF(B960&lt;&gt;"Dividendo","",IF(Calcoli!$B$251=1,J960,L960))</f>
        <v/>
      </c>
      <c r="W960" t="str">
        <f>IF(AND(V960&lt;&gt;"",ISNUMBER(A960)),A960,"")</f>
        <v/>
      </c>
    </row>
    <row r="961">
      <c r="A961" s="134" t="n"/>
      <c r="B961" s="116" t="n"/>
      <c r="C961" s="116" t="n"/>
      <c r="D961" s="121" t="n"/>
      <c r="E961" s="120" t="n"/>
      <c r="F961" s="120" t="n"/>
      <c r="G961" s="120" t="n"/>
      <c r="H961" s="120" t="n"/>
      <c r="I961" s="117" t="n"/>
      <c r="J961" s="123" t="str">
        <f>IF(B961="","",IF(F961&lt;&gt;"",N(F961),ROUND(N(D961)*N(E961),2)))</f>
        <v/>
      </c>
      <c r="K961" s="123" t="str">
        <f>IF(B961="","",IF(H961&lt;&gt;"",N(H961),IF(B961="Dividendo",ROUND(J961*IFERROR(INDEX(Calcoli!$V$7:$V$21,MATCH(C961,Calcoli!$A$7:$A$21,0)),0.26),2),IF(B961="Vendita",ROUND(MAX(0,U961)*IFERROR(INDEX(Calcoli!$V$7:$V$21,MATCH(C961,Calcoli!$A$7:$A$21,0)),0.26),2),0))))</f>
        <v/>
      </c>
      <c r="L961" s="135" t="str">
        <f>IF(B961="","",IF(B961="Acquisto",-(J961+N(G961)),J961-N(G961)-K961))</f>
        <v/>
      </c>
      <c r="M961" s="127" t="str">
        <f>IF(B961="","",IF(ISNA(MATCH(C961,ETF!$A$7:$A$21,0)),"ETF?",IF(NOT(ISNUMBER(A961)),"Data?",IF(AND(B961&lt;&gt;"Dividendo",N(D961)&lt;=0),"Quote?",IF(AND(B961="Vendita",N(D961)&gt;N(Q961)+0.000001),"Quote?",IF(J961&lt;=0,"Importo?","✓"))))))</f>
        <v/>
      </c>
      <c r="N961" t="str">
        <f>IF(OR(B961="Acquisto",B961="Vendita"),COUNTIFS($C$5:C961,C961,$B$5:B961,"Acquisto")+COUNTIFS($C$5:C961,C961,$B$5:B961,"Vendita"),"")</f>
        <v/>
      </c>
      <c r="O961" t="str">
        <f>IF(N961="","",C961&amp;"|"&amp;N961)</f>
        <v/>
      </c>
      <c r="P961" t="str">
        <f>IF(N961="","",IF(N961=1,0,MATCH(C961&amp;"|"&amp;(N961-1),$O$5:$O$1004,0)))</f>
        <v/>
      </c>
      <c r="Q961" t="str">
        <f>IF(N961="","",IF(P961=0,SUMIFS(Calcoli!$C$7:$C$21,Calcoli!$A$7:$A$21,C961),INDEX($S$5:$S$1004,P961)))</f>
        <v/>
      </c>
      <c r="R961" t="str">
        <f>IF(N961="","",IF(P961=0,SUMIFS(Calcoli!$D$7:$D$21,Calcoli!$A$7:$A$21,C961),INDEX($T$5:$T$1004,P961)))</f>
        <v/>
      </c>
      <c r="S961" t="str">
        <f>IF(N961="","",IF(B961="Acquisto",Q961+N(D961),MAX(0,Q961-N(D961))))</f>
        <v/>
      </c>
      <c r="T961" t="str">
        <f>IF(N961="","",IF(B961="Acquisto",R961+J961+N(G961),IF(Q961&lt;=0,0,R961*(1-MIN(1,N(D961)/Q961)))))</f>
        <v/>
      </c>
      <c r="U961" t="str">
        <f>IF(B961&lt;&gt;"Vendita","",J961-N(G961)-IF(Q961&lt;=0,0,R961*MIN(1,N(D961)/Q961)))</f>
        <v/>
      </c>
      <c r="V961" t="str">
        <f>IF(B961&lt;&gt;"Dividendo","",IF(Calcoli!$B$251=1,J961,L961))</f>
        <v/>
      </c>
      <c r="W961" t="str">
        <f>IF(AND(V961&lt;&gt;"",ISNUMBER(A961)),A961,"")</f>
        <v/>
      </c>
    </row>
    <row r="962">
      <c r="A962" s="134" t="n"/>
      <c r="B962" s="116" t="n"/>
      <c r="C962" s="116" t="n"/>
      <c r="D962" s="121" t="n"/>
      <c r="E962" s="120" t="n"/>
      <c r="F962" s="120" t="n"/>
      <c r="G962" s="120" t="n"/>
      <c r="H962" s="120" t="n"/>
      <c r="I962" s="117" t="n"/>
      <c r="J962" s="123" t="str">
        <f>IF(B962="","",IF(F962&lt;&gt;"",N(F962),ROUND(N(D962)*N(E962),2)))</f>
        <v/>
      </c>
      <c r="K962" s="123" t="str">
        <f>IF(B962="","",IF(H962&lt;&gt;"",N(H962),IF(B962="Dividendo",ROUND(J962*IFERROR(INDEX(Calcoli!$V$7:$V$21,MATCH(C962,Calcoli!$A$7:$A$21,0)),0.26),2),IF(B962="Vendita",ROUND(MAX(0,U962)*IFERROR(INDEX(Calcoli!$V$7:$V$21,MATCH(C962,Calcoli!$A$7:$A$21,0)),0.26),2),0))))</f>
        <v/>
      </c>
      <c r="L962" s="135" t="str">
        <f>IF(B962="","",IF(B962="Acquisto",-(J962+N(G962)),J962-N(G962)-K962))</f>
        <v/>
      </c>
      <c r="M962" s="127" t="str">
        <f>IF(B962="","",IF(ISNA(MATCH(C962,ETF!$A$7:$A$21,0)),"ETF?",IF(NOT(ISNUMBER(A962)),"Data?",IF(AND(B962&lt;&gt;"Dividendo",N(D962)&lt;=0),"Quote?",IF(AND(B962="Vendita",N(D962)&gt;N(Q962)+0.000001),"Quote?",IF(J962&lt;=0,"Importo?","✓"))))))</f>
        <v/>
      </c>
      <c r="N962" t="str">
        <f>IF(OR(B962="Acquisto",B962="Vendita"),COUNTIFS($C$5:C962,C962,$B$5:B962,"Acquisto")+COUNTIFS($C$5:C962,C962,$B$5:B962,"Vendita"),"")</f>
        <v/>
      </c>
      <c r="O962" t="str">
        <f>IF(N962="","",C962&amp;"|"&amp;N962)</f>
        <v/>
      </c>
      <c r="P962" t="str">
        <f>IF(N962="","",IF(N962=1,0,MATCH(C962&amp;"|"&amp;(N962-1),$O$5:$O$1004,0)))</f>
        <v/>
      </c>
      <c r="Q962" t="str">
        <f>IF(N962="","",IF(P962=0,SUMIFS(Calcoli!$C$7:$C$21,Calcoli!$A$7:$A$21,C962),INDEX($S$5:$S$1004,P962)))</f>
        <v/>
      </c>
      <c r="R962" t="str">
        <f>IF(N962="","",IF(P962=0,SUMIFS(Calcoli!$D$7:$D$21,Calcoli!$A$7:$A$21,C962),INDEX($T$5:$T$1004,P962)))</f>
        <v/>
      </c>
      <c r="S962" t="str">
        <f>IF(N962="","",IF(B962="Acquisto",Q962+N(D962),MAX(0,Q962-N(D962))))</f>
        <v/>
      </c>
      <c r="T962" t="str">
        <f>IF(N962="","",IF(B962="Acquisto",R962+J962+N(G962),IF(Q962&lt;=0,0,R962*(1-MIN(1,N(D962)/Q962)))))</f>
        <v/>
      </c>
      <c r="U962" t="str">
        <f>IF(B962&lt;&gt;"Vendita","",J962-N(G962)-IF(Q962&lt;=0,0,R962*MIN(1,N(D962)/Q962)))</f>
        <v/>
      </c>
      <c r="V962" t="str">
        <f>IF(B962&lt;&gt;"Dividendo","",IF(Calcoli!$B$251=1,J962,L962))</f>
        <v/>
      </c>
      <c r="W962" t="str">
        <f>IF(AND(V962&lt;&gt;"",ISNUMBER(A962)),A962,"")</f>
        <v/>
      </c>
    </row>
    <row r="963">
      <c r="A963" s="134" t="n"/>
      <c r="B963" s="116" t="n"/>
      <c r="C963" s="116" t="n"/>
      <c r="D963" s="121" t="n"/>
      <c r="E963" s="120" t="n"/>
      <c r="F963" s="120" t="n"/>
      <c r="G963" s="120" t="n"/>
      <c r="H963" s="120" t="n"/>
      <c r="I963" s="117" t="n"/>
      <c r="J963" s="123" t="str">
        <f>IF(B963="","",IF(F963&lt;&gt;"",N(F963),ROUND(N(D963)*N(E963),2)))</f>
        <v/>
      </c>
      <c r="K963" s="123" t="str">
        <f>IF(B963="","",IF(H963&lt;&gt;"",N(H963),IF(B963="Dividendo",ROUND(J963*IFERROR(INDEX(Calcoli!$V$7:$V$21,MATCH(C963,Calcoli!$A$7:$A$21,0)),0.26),2),IF(B963="Vendita",ROUND(MAX(0,U963)*IFERROR(INDEX(Calcoli!$V$7:$V$21,MATCH(C963,Calcoli!$A$7:$A$21,0)),0.26),2),0))))</f>
        <v/>
      </c>
      <c r="L963" s="135" t="str">
        <f>IF(B963="","",IF(B963="Acquisto",-(J963+N(G963)),J963-N(G963)-K963))</f>
        <v/>
      </c>
      <c r="M963" s="127" t="str">
        <f>IF(B963="","",IF(ISNA(MATCH(C963,ETF!$A$7:$A$21,0)),"ETF?",IF(NOT(ISNUMBER(A963)),"Data?",IF(AND(B963&lt;&gt;"Dividendo",N(D963)&lt;=0),"Quote?",IF(AND(B963="Vendita",N(D963)&gt;N(Q963)+0.000001),"Quote?",IF(J963&lt;=0,"Importo?","✓"))))))</f>
        <v/>
      </c>
      <c r="N963" t="str">
        <f>IF(OR(B963="Acquisto",B963="Vendita"),COUNTIFS($C$5:C963,C963,$B$5:B963,"Acquisto")+COUNTIFS($C$5:C963,C963,$B$5:B963,"Vendita"),"")</f>
        <v/>
      </c>
      <c r="O963" t="str">
        <f>IF(N963="","",C963&amp;"|"&amp;N963)</f>
        <v/>
      </c>
      <c r="P963" t="str">
        <f>IF(N963="","",IF(N963=1,0,MATCH(C963&amp;"|"&amp;(N963-1),$O$5:$O$1004,0)))</f>
        <v/>
      </c>
      <c r="Q963" t="str">
        <f>IF(N963="","",IF(P963=0,SUMIFS(Calcoli!$C$7:$C$21,Calcoli!$A$7:$A$21,C963),INDEX($S$5:$S$1004,P963)))</f>
        <v/>
      </c>
      <c r="R963" t="str">
        <f>IF(N963="","",IF(P963=0,SUMIFS(Calcoli!$D$7:$D$21,Calcoli!$A$7:$A$21,C963),INDEX($T$5:$T$1004,P963)))</f>
        <v/>
      </c>
      <c r="S963" t="str">
        <f>IF(N963="","",IF(B963="Acquisto",Q963+N(D963),MAX(0,Q963-N(D963))))</f>
        <v/>
      </c>
      <c r="T963" t="str">
        <f>IF(N963="","",IF(B963="Acquisto",R963+J963+N(G963),IF(Q963&lt;=0,0,R963*(1-MIN(1,N(D963)/Q963)))))</f>
        <v/>
      </c>
      <c r="U963" t="str">
        <f>IF(B963&lt;&gt;"Vendita","",J963-N(G963)-IF(Q963&lt;=0,0,R963*MIN(1,N(D963)/Q963)))</f>
        <v/>
      </c>
      <c r="V963" t="str">
        <f>IF(B963&lt;&gt;"Dividendo","",IF(Calcoli!$B$251=1,J963,L963))</f>
        <v/>
      </c>
      <c r="W963" t="str">
        <f>IF(AND(V963&lt;&gt;"",ISNUMBER(A963)),A963,"")</f>
        <v/>
      </c>
    </row>
    <row r="964">
      <c r="A964" s="134" t="n"/>
      <c r="B964" s="116" t="n"/>
      <c r="C964" s="116" t="n"/>
      <c r="D964" s="121" t="n"/>
      <c r="E964" s="120" t="n"/>
      <c r="F964" s="120" t="n"/>
      <c r="G964" s="120" t="n"/>
      <c r="H964" s="120" t="n"/>
      <c r="I964" s="117" t="n"/>
      <c r="J964" s="123" t="str">
        <f>IF(B964="","",IF(F964&lt;&gt;"",N(F964),ROUND(N(D964)*N(E964),2)))</f>
        <v/>
      </c>
      <c r="K964" s="123" t="str">
        <f>IF(B964="","",IF(H964&lt;&gt;"",N(H964),IF(B964="Dividendo",ROUND(J964*IFERROR(INDEX(Calcoli!$V$7:$V$21,MATCH(C964,Calcoli!$A$7:$A$21,0)),0.26),2),IF(B964="Vendita",ROUND(MAX(0,U964)*IFERROR(INDEX(Calcoli!$V$7:$V$21,MATCH(C964,Calcoli!$A$7:$A$21,0)),0.26),2),0))))</f>
        <v/>
      </c>
      <c r="L964" s="135" t="str">
        <f>IF(B964="","",IF(B964="Acquisto",-(J964+N(G964)),J964-N(G964)-K964))</f>
        <v/>
      </c>
      <c r="M964" s="127" t="str">
        <f>IF(B964="","",IF(ISNA(MATCH(C964,ETF!$A$7:$A$21,0)),"ETF?",IF(NOT(ISNUMBER(A964)),"Data?",IF(AND(B964&lt;&gt;"Dividendo",N(D964)&lt;=0),"Quote?",IF(AND(B964="Vendita",N(D964)&gt;N(Q964)+0.000001),"Quote?",IF(J964&lt;=0,"Importo?","✓"))))))</f>
        <v/>
      </c>
      <c r="N964" t="str">
        <f>IF(OR(B964="Acquisto",B964="Vendita"),COUNTIFS($C$5:C964,C964,$B$5:B964,"Acquisto")+COUNTIFS($C$5:C964,C964,$B$5:B964,"Vendita"),"")</f>
        <v/>
      </c>
      <c r="O964" t="str">
        <f>IF(N964="","",C964&amp;"|"&amp;N964)</f>
        <v/>
      </c>
      <c r="P964" t="str">
        <f>IF(N964="","",IF(N964=1,0,MATCH(C964&amp;"|"&amp;(N964-1),$O$5:$O$1004,0)))</f>
        <v/>
      </c>
      <c r="Q964" t="str">
        <f>IF(N964="","",IF(P964=0,SUMIFS(Calcoli!$C$7:$C$21,Calcoli!$A$7:$A$21,C964),INDEX($S$5:$S$1004,P964)))</f>
        <v/>
      </c>
      <c r="R964" t="str">
        <f>IF(N964="","",IF(P964=0,SUMIFS(Calcoli!$D$7:$D$21,Calcoli!$A$7:$A$21,C964),INDEX($T$5:$T$1004,P964)))</f>
        <v/>
      </c>
      <c r="S964" t="str">
        <f>IF(N964="","",IF(B964="Acquisto",Q964+N(D964),MAX(0,Q964-N(D964))))</f>
        <v/>
      </c>
      <c r="T964" t="str">
        <f>IF(N964="","",IF(B964="Acquisto",R964+J964+N(G964),IF(Q964&lt;=0,0,R964*(1-MIN(1,N(D964)/Q964)))))</f>
        <v/>
      </c>
      <c r="U964" t="str">
        <f>IF(B964&lt;&gt;"Vendita","",J964-N(G964)-IF(Q964&lt;=0,0,R964*MIN(1,N(D964)/Q964)))</f>
        <v/>
      </c>
      <c r="V964" t="str">
        <f>IF(B964&lt;&gt;"Dividendo","",IF(Calcoli!$B$251=1,J964,L964))</f>
        <v/>
      </c>
      <c r="W964" t="str">
        <f>IF(AND(V964&lt;&gt;"",ISNUMBER(A964)),A964,"")</f>
        <v/>
      </c>
    </row>
    <row r="965">
      <c r="A965" s="134" t="n"/>
      <c r="B965" s="116" t="n"/>
      <c r="C965" s="116" t="n"/>
      <c r="D965" s="121" t="n"/>
      <c r="E965" s="120" t="n"/>
      <c r="F965" s="120" t="n"/>
      <c r="G965" s="120" t="n"/>
      <c r="H965" s="120" t="n"/>
      <c r="I965" s="117" t="n"/>
      <c r="J965" s="123" t="str">
        <f>IF(B965="","",IF(F965&lt;&gt;"",N(F965),ROUND(N(D965)*N(E965),2)))</f>
        <v/>
      </c>
      <c r="K965" s="123" t="str">
        <f>IF(B965="","",IF(H965&lt;&gt;"",N(H965),IF(B965="Dividendo",ROUND(J965*IFERROR(INDEX(Calcoli!$V$7:$V$21,MATCH(C965,Calcoli!$A$7:$A$21,0)),0.26),2),IF(B965="Vendita",ROUND(MAX(0,U965)*IFERROR(INDEX(Calcoli!$V$7:$V$21,MATCH(C965,Calcoli!$A$7:$A$21,0)),0.26),2),0))))</f>
        <v/>
      </c>
      <c r="L965" s="135" t="str">
        <f>IF(B965="","",IF(B965="Acquisto",-(J965+N(G965)),J965-N(G965)-K965))</f>
        <v/>
      </c>
      <c r="M965" s="127" t="str">
        <f>IF(B965="","",IF(ISNA(MATCH(C965,ETF!$A$7:$A$21,0)),"ETF?",IF(NOT(ISNUMBER(A965)),"Data?",IF(AND(B965&lt;&gt;"Dividendo",N(D965)&lt;=0),"Quote?",IF(AND(B965="Vendita",N(D965)&gt;N(Q965)+0.000001),"Quote?",IF(J965&lt;=0,"Importo?","✓"))))))</f>
        <v/>
      </c>
      <c r="N965" t="str">
        <f>IF(OR(B965="Acquisto",B965="Vendita"),COUNTIFS($C$5:C965,C965,$B$5:B965,"Acquisto")+COUNTIFS($C$5:C965,C965,$B$5:B965,"Vendita"),"")</f>
        <v/>
      </c>
      <c r="O965" t="str">
        <f>IF(N965="","",C965&amp;"|"&amp;N965)</f>
        <v/>
      </c>
      <c r="P965" t="str">
        <f>IF(N965="","",IF(N965=1,0,MATCH(C965&amp;"|"&amp;(N965-1),$O$5:$O$1004,0)))</f>
        <v/>
      </c>
      <c r="Q965" t="str">
        <f>IF(N965="","",IF(P965=0,SUMIFS(Calcoli!$C$7:$C$21,Calcoli!$A$7:$A$21,C965),INDEX($S$5:$S$1004,P965)))</f>
        <v/>
      </c>
      <c r="R965" t="str">
        <f>IF(N965="","",IF(P965=0,SUMIFS(Calcoli!$D$7:$D$21,Calcoli!$A$7:$A$21,C965),INDEX($T$5:$T$1004,P965)))</f>
        <v/>
      </c>
      <c r="S965" t="str">
        <f>IF(N965="","",IF(B965="Acquisto",Q965+N(D965),MAX(0,Q965-N(D965))))</f>
        <v/>
      </c>
      <c r="T965" t="str">
        <f>IF(N965="","",IF(B965="Acquisto",R965+J965+N(G965),IF(Q965&lt;=0,0,R965*(1-MIN(1,N(D965)/Q965)))))</f>
        <v/>
      </c>
      <c r="U965" t="str">
        <f>IF(B965&lt;&gt;"Vendita","",J965-N(G965)-IF(Q965&lt;=0,0,R965*MIN(1,N(D965)/Q965)))</f>
        <v/>
      </c>
      <c r="V965" t="str">
        <f>IF(B965&lt;&gt;"Dividendo","",IF(Calcoli!$B$251=1,J965,L965))</f>
        <v/>
      </c>
      <c r="W965" t="str">
        <f>IF(AND(V965&lt;&gt;"",ISNUMBER(A965)),A965,"")</f>
        <v/>
      </c>
    </row>
    <row r="966">
      <c r="A966" s="134" t="n"/>
      <c r="B966" s="116" t="n"/>
      <c r="C966" s="116" t="n"/>
      <c r="D966" s="121" t="n"/>
      <c r="E966" s="120" t="n"/>
      <c r="F966" s="120" t="n"/>
      <c r="G966" s="120" t="n"/>
      <c r="H966" s="120" t="n"/>
      <c r="I966" s="117" t="n"/>
      <c r="J966" s="123" t="str">
        <f>IF(B966="","",IF(F966&lt;&gt;"",N(F966),ROUND(N(D966)*N(E966),2)))</f>
        <v/>
      </c>
      <c r="K966" s="123" t="str">
        <f>IF(B966="","",IF(H966&lt;&gt;"",N(H966),IF(B966="Dividendo",ROUND(J966*IFERROR(INDEX(Calcoli!$V$7:$V$21,MATCH(C966,Calcoli!$A$7:$A$21,0)),0.26),2),IF(B966="Vendita",ROUND(MAX(0,U966)*IFERROR(INDEX(Calcoli!$V$7:$V$21,MATCH(C966,Calcoli!$A$7:$A$21,0)),0.26),2),0))))</f>
        <v/>
      </c>
      <c r="L966" s="135" t="str">
        <f>IF(B966="","",IF(B966="Acquisto",-(J966+N(G966)),J966-N(G966)-K966))</f>
        <v/>
      </c>
      <c r="M966" s="127" t="str">
        <f>IF(B966="","",IF(ISNA(MATCH(C966,ETF!$A$7:$A$21,0)),"ETF?",IF(NOT(ISNUMBER(A966)),"Data?",IF(AND(B966&lt;&gt;"Dividendo",N(D966)&lt;=0),"Quote?",IF(AND(B966="Vendita",N(D966)&gt;N(Q966)+0.000001),"Quote?",IF(J966&lt;=0,"Importo?","✓"))))))</f>
        <v/>
      </c>
      <c r="N966" t="str">
        <f>IF(OR(B966="Acquisto",B966="Vendita"),COUNTIFS($C$5:C966,C966,$B$5:B966,"Acquisto")+COUNTIFS($C$5:C966,C966,$B$5:B966,"Vendita"),"")</f>
        <v/>
      </c>
      <c r="O966" t="str">
        <f>IF(N966="","",C966&amp;"|"&amp;N966)</f>
        <v/>
      </c>
      <c r="P966" t="str">
        <f>IF(N966="","",IF(N966=1,0,MATCH(C966&amp;"|"&amp;(N966-1),$O$5:$O$1004,0)))</f>
        <v/>
      </c>
      <c r="Q966" t="str">
        <f>IF(N966="","",IF(P966=0,SUMIFS(Calcoli!$C$7:$C$21,Calcoli!$A$7:$A$21,C966),INDEX($S$5:$S$1004,P966)))</f>
        <v/>
      </c>
      <c r="R966" t="str">
        <f>IF(N966="","",IF(P966=0,SUMIFS(Calcoli!$D$7:$D$21,Calcoli!$A$7:$A$21,C966),INDEX($T$5:$T$1004,P966)))</f>
        <v/>
      </c>
      <c r="S966" t="str">
        <f>IF(N966="","",IF(B966="Acquisto",Q966+N(D966),MAX(0,Q966-N(D966))))</f>
        <v/>
      </c>
      <c r="T966" t="str">
        <f>IF(N966="","",IF(B966="Acquisto",R966+J966+N(G966),IF(Q966&lt;=0,0,R966*(1-MIN(1,N(D966)/Q966)))))</f>
        <v/>
      </c>
      <c r="U966" t="str">
        <f>IF(B966&lt;&gt;"Vendita","",J966-N(G966)-IF(Q966&lt;=0,0,R966*MIN(1,N(D966)/Q966)))</f>
        <v/>
      </c>
      <c r="V966" t="str">
        <f>IF(B966&lt;&gt;"Dividendo","",IF(Calcoli!$B$251=1,J966,L966))</f>
        <v/>
      </c>
      <c r="W966" t="str">
        <f>IF(AND(V966&lt;&gt;"",ISNUMBER(A966)),A966,"")</f>
        <v/>
      </c>
    </row>
    <row r="967">
      <c r="A967" s="134" t="n"/>
      <c r="B967" s="116" t="n"/>
      <c r="C967" s="116" t="n"/>
      <c r="D967" s="121" t="n"/>
      <c r="E967" s="120" t="n"/>
      <c r="F967" s="120" t="n"/>
      <c r="G967" s="120" t="n"/>
      <c r="H967" s="120" t="n"/>
      <c r="I967" s="117" t="n"/>
      <c r="J967" s="123" t="str">
        <f>IF(B967="","",IF(F967&lt;&gt;"",N(F967),ROUND(N(D967)*N(E967),2)))</f>
        <v/>
      </c>
      <c r="K967" s="123" t="str">
        <f>IF(B967="","",IF(H967&lt;&gt;"",N(H967),IF(B967="Dividendo",ROUND(J967*IFERROR(INDEX(Calcoli!$V$7:$V$21,MATCH(C967,Calcoli!$A$7:$A$21,0)),0.26),2),IF(B967="Vendita",ROUND(MAX(0,U967)*IFERROR(INDEX(Calcoli!$V$7:$V$21,MATCH(C967,Calcoli!$A$7:$A$21,0)),0.26),2),0))))</f>
        <v/>
      </c>
      <c r="L967" s="135" t="str">
        <f>IF(B967="","",IF(B967="Acquisto",-(J967+N(G967)),J967-N(G967)-K967))</f>
        <v/>
      </c>
      <c r="M967" s="127" t="str">
        <f>IF(B967="","",IF(ISNA(MATCH(C967,ETF!$A$7:$A$21,0)),"ETF?",IF(NOT(ISNUMBER(A967)),"Data?",IF(AND(B967&lt;&gt;"Dividendo",N(D967)&lt;=0),"Quote?",IF(AND(B967="Vendita",N(D967)&gt;N(Q967)+0.000001),"Quote?",IF(J967&lt;=0,"Importo?","✓"))))))</f>
        <v/>
      </c>
      <c r="N967" t="str">
        <f>IF(OR(B967="Acquisto",B967="Vendita"),COUNTIFS($C$5:C967,C967,$B$5:B967,"Acquisto")+COUNTIFS($C$5:C967,C967,$B$5:B967,"Vendita"),"")</f>
        <v/>
      </c>
      <c r="O967" t="str">
        <f>IF(N967="","",C967&amp;"|"&amp;N967)</f>
        <v/>
      </c>
      <c r="P967" t="str">
        <f>IF(N967="","",IF(N967=1,0,MATCH(C967&amp;"|"&amp;(N967-1),$O$5:$O$1004,0)))</f>
        <v/>
      </c>
      <c r="Q967" t="str">
        <f>IF(N967="","",IF(P967=0,SUMIFS(Calcoli!$C$7:$C$21,Calcoli!$A$7:$A$21,C967),INDEX($S$5:$S$1004,P967)))</f>
        <v/>
      </c>
      <c r="R967" t="str">
        <f>IF(N967="","",IF(P967=0,SUMIFS(Calcoli!$D$7:$D$21,Calcoli!$A$7:$A$21,C967),INDEX($T$5:$T$1004,P967)))</f>
        <v/>
      </c>
      <c r="S967" t="str">
        <f>IF(N967="","",IF(B967="Acquisto",Q967+N(D967),MAX(0,Q967-N(D967))))</f>
        <v/>
      </c>
      <c r="T967" t="str">
        <f>IF(N967="","",IF(B967="Acquisto",R967+J967+N(G967),IF(Q967&lt;=0,0,R967*(1-MIN(1,N(D967)/Q967)))))</f>
        <v/>
      </c>
      <c r="U967" t="str">
        <f>IF(B967&lt;&gt;"Vendita","",J967-N(G967)-IF(Q967&lt;=0,0,R967*MIN(1,N(D967)/Q967)))</f>
        <v/>
      </c>
      <c r="V967" t="str">
        <f>IF(B967&lt;&gt;"Dividendo","",IF(Calcoli!$B$251=1,J967,L967))</f>
        <v/>
      </c>
      <c r="W967" t="str">
        <f>IF(AND(V967&lt;&gt;"",ISNUMBER(A967)),A967,"")</f>
        <v/>
      </c>
    </row>
    <row r="968">
      <c r="A968" s="134" t="n"/>
      <c r="B968" s="116" t="n"/>
      <c r="C968" s="116" t="n"/>
      <c r="D968" s="121" t="n"/>
      <c r="E968" s="120" t="n"/>
      <c r="F968" s="120" t="n"/>
      <c r="G968" s="120" t="n"/>
      <c r="H968" s="120" t="n"/>
      <c r="I968" s="117" t="n"/>
      <c r="J968" s="123" t="str">
        <f>IF(B968="","",IF(F968&lt;&gt;"",N(F968),ROUND(N(D968)*N(E968),2)))</f>
        <v/>
      </c>
      <c r="K968" s="123" t="str">
        <f>IF(B968="","",IF(H968&lt;&gt;"",N(H968),IF(B968="Dividendo",ROUND(J968*IFERROR(INDEX(Calcoli!$V$7:$V$21,MATCH(C968,Calcoli!$A$7:$A$21,0)),0.26),2),IF(B968="Vendita",ROUND(MAX(0,U968)*IFERROR(INDEX(Calcoli!$V$7:$V$21,MATCH(C968,Calcoli!$A$7:$A$21,0)),0.26),2),0))))</f>
        <v/>
      </c>
      <c r="L968" s="135" t="str">
        <f>IF(B968="","",IF(B968="Acquisto",-(J968+N(G968)),J968-N(G968)-K968))</f>
        <v/>
      </c>
      <c r="M968" s="127" t="str">
        <f>IF(B968="","",IF(ISNA(MATCH(C968,ETF!$A$7:$A$21,0)),"ETF?",IF(NOT(ISNUMBER(A968)),"Data?",IF(AND(B968&lt;&gt;"Dividendo",N(D968)&lt;=0),"Quote?",IF(AND(B968="Vendita",N(D968)&gt;N(Q968)+0.000001),"Quote?",IF(J968&lt;=0,"Importo?","✓"))))))</f>
        <v/>
      </c>
      <c r="N968" t="str">
        <f>IF(OR(B968="Acquisto",B968="Vendita"),COUNTIFS($C$5:C968,C968,$B$5:B968,"Acquisto")+COUNTIFS($C$5:C968,C968,$B$5:B968,"Vendita"),"")</f>
        <v/>
      </c>
      <c r="O968" t="str">
        <f>IF(N968="","",C968&amp;"|"&amp;N968)</f>
        <v/>
      </c>
      <c r="P968" t="str">
        <f>IF(N968="","",IF(N968=1,0,MATCH(C968&amp;"|"&amp;(N968-1),$O$5:$O$1004,0)))</f>
        <v/>
      </c>
      <c r="Q968" t="str">
        <f>IF(N968="","",IF(P968=0,SUMIFS(Calcoli!$C$7:$C$21,Calcoli!$A$7:$A$21,C968),INDEX($S$5:$S$1004,P968)))</f>
        <v/>
      </c>
      <c r="R968" t="str">
        <f>IF(N968="","",IF(P968=0,SUMIFS(Calcoli!$D$7:$D$21,Calcoli!$A$7:$A$21,C968),INDEX($T$5:$T$1004,P968)))</f>
        <v/>
      </c>
      <c r="S968" t="str">
        <f>IF(N968="","",IF(B968="Acquisto",Q968+N(D968),MAX(0,Q968-N(D968))))</f>
        <v/>
      </c>
      <c r="T968" t="str">
        <f>IF(N968="","",IF(B968="Acquisto",R968+J968+N(G968),IF(Q968&lt;=0,0,R968*(1-MIN(1,N(D968)/Q968)))))</f>
        <v/>
      </c>
      <c r="U968" t="str">
        <f>IF(B968&lt;&gt;"Vendita","",J968-N(G968)-IF(Q968&lt;=0,0,R968*MIN(1,N(D968)/Q968)))</f>
        <v/>
      </c>
      <c r="V968" t="str">
        <f>IF(B968&lt;&gt;"Dividendo","",IF(Calcoli!$B$251=1,J968,L968))</f>
        <v/>
      </c>
      <c r="W968" t="str">
        <f>IF(AND(V968&lt;&gt;"",ISNUMBER(A968)),A968,"")</f>
        <v/>
      </c>
    </row>
    <row r="969">
      <c r="A969" s="134" t="n"/>
      <c r="B969" s="116" t="n"/>
      <c r="C969" s="116" t="n"/>
      <c r="D969" s="121" t="n"/>
      <c r="E969" s="120" t="n"/>
      <c r="F969" s="120" t="n"/>
      <c r="G969" s="120" t="n"/>
      <c r="H969" s="120" t="n"/>
      <c r="I969" s="117" t="n"/>
      <c r="J969" s="123" t="str">
        <f>IF(B969="","",IF(F969&lt;&gt;"",N(F969),ROUND(N(D969)*N(E969),2)))</f>
        <v/>
      </c>
      <c r="K969" s="123" t="str">
        <f>IF(B969="","",IF(H969&lt;&gt;"",N(H969),IF(B969="Dividendo",ROUND(J969*IFERROR(INDEX(Calcoli!$V$7:$V$21,MATCH(C969,Calcoli!$A$7:$A$21,0)),0.26),2),IF(B969="Vendita",ROUND(MAX(0,U969)*IFERROR(INDEX(Calcoli!$V$7:$V$21,MATCH(C969,Calcoli!$A$7:$A$21,0)),0.26),2),0))))</f>
        <v/>
      </c>
      <c r="L969" s="135" t="str">
        <f>IF(B969="","",IF(B969="Acquisto",-(J969+N(G969)),J969-N(G969)-K969))</f>
        <v/>
      </c>
      <c r="M969" s="127" t="str">
        <f>IF(B969="","",IF(ISNA(MATCH(C969,ETF!$A$7:$A$21,0)),"ETF?",IF(NOT(ISNUMBER(A969)),"Data?",IF(AND(B969&lt;&gt;"Dividendo",N(D969)&lt;=0),"Quote?",IF(AND(B969="Vendita",N(D969)&gt;N(Q969)+0.000001),"Quote?",IF(J969&lt;=0,"Importo?","✓"))))))</f>
        <v/>
      </c>
      <c r="N969" t="str">
        <f>IF(OR(B969="Acquisto",B969="Vendita"),COUNTIFS($C$5:C969,C969,$B$5:B969,"Acquisto")+COUNTIFS($C$5:C969,C969,$B$5:B969,"Vendita"),"")</f>
        <v/>
      </c>
      <c r="O969" t="str">
        <f>IF(N969="","",C969&amp;"|"&amp;N969)</f>
        <v/>
      </c>
      <c r="P969" t="str">
        <f>IF(N969="","",IF(N969=1,0,MATCH(C969&amp;"|"&amp;(N969-1),$O$5:$O$1004,0)))</f>
        <v/>
      </c>
      <c r="Q969" t="str">
        <f>IF(N969="","",IF(P969=0,SUMIFS(Calcoli!$C$7:$C$21,Calcoli!$A$7:$A$21,C969),INDEX($S$5:$S$1004,P969)))</f>
        <v/>
      </c>
      <c r="R969" t="str">
        <f>IF(N969="","",IF(P969=0,SUMIFS(Calcoli!$D$7:$D$21,Calcoli!$A$7:$A$21,C969),INDEX($T$5:$T$1004,P969)))</f>
        <v/>
      </c>
      <c r="S969" t="str">
        <f>IF(N969="","",IF(B969="Acquisto",Q969+N(D969),MAX(0,Q969-N(D969))))</f>
        <v/>
      </c>
      <c r="T969" t="str">
        <f>IF(N969="","",IF(B969="Acquisto",R969+J969+N(G969),IF(Q969&lt;=0,0,R969*(1-MIN(1,N(D969)/Q969)))))</f>
        <v/>
      </c>
      <c r="U969" t="str">
        <f>IF(B969&lt;&gt;"Vendita","",J969-N(G969)-IF(Q969&lt;=0,0,R969*MIN(1,N(D969)/Q969)))</f>
        <v/>
      </c>
      <c r="V969" t="str">
        <f>IF(B969&lt;&gt;"Dividendo","",IF(Calcoli!$B$251=1,J969,L969))</f>
        <v/>
      </c>
      <c r="W969" t="str">
        <f>IF(AND(V969&lt;&gt;"",ISNUMBER(A969)),A969,"")</f>
        <v/>
      </c>
    </row>
    <row r="970">
      <c r="A970" s="134" t="n"/>
      <c r="B970" s="116" t="n"/>
      <c r="C970" s="116" t="n"/>
      <c r="D970" s="121" t="n"/>
      <c r="E970" s="120" t="n"/>
      <c r="F970" s="120" t="n"/>
      <c r="G970" s="120" t="n"/>
      <c r="H970" s="120" t="n"/>
      <c r="I970" s="117" t="n"/>
      <c r="J970" s="123" t="str">
        <f>IF(B970="","",IF(F970&lt;&gt;"",N(F970),ROUND(N(D970)*N(E970),2)))</f>
        <v/>
      </c>
      <c r="K970" s="123" t="str">
        <f>IF(B970="","",IF(H970&lt;&gt;"",N(H970),IF(B970="Dividendo",ROUND(J970*IFERROR(INDEX(Calcoli!$V$7:$V$21,MATCH(C970,Calcoli!$A$7:$A$21,0)),0.26),2),IF(B970="Vendita",ROUND(MAX(0,U970)*IFERROR(INDEX(Calcoli!$V$7:$V$21,MATCH(C970,Calcoli!$A$7:$A$21,0)),0.26),2),0))))</f>
        <v/>
      </c>
      <c r="L970" s="135" t="str">
        <f>IF(B970="","",IF(B970="Acquisto",-(J970+N(G970)),J970-N(G970)-K970))</f>
        <v/>
      </c>
      <c r="M970" s="127" t="str">
        <f>IF(B970="","",IF(ISNA(MATCH(C970,ETF!$A$7:$A$21,0)),"ETF?",IF(NOT(ISNUMBER(A970)),"Data?",IF(AND(B970&lt;&gt;"Dividendo",N(D970)&lt;=0),"Quote?",IF(AND(B970="Vendita",N(D970)&gt;N(Q970)+0.000001),"Quote?",IF(J970&lt;=0,"Importo?","✓"))))))</f>
        <v/>
      </c>
      <c r="N970" t="str">
        <f>IF(OR(B970="Acquisto",B970="Vendita"),COUNTIFS($C$5:C970,C970,$B$5:B970,"Acquisto")+COUNTIFS($C$5:C970,C970,$B$5:B970,"Vendita"),"")</f>
        <v/>
      </c>
      <c r="O970" t="str">
        <f>IF(N970="","",C970&amp;"|"&amp;N970)</f>
        <v/>
      </c>
      <c r="P970" t="str">
        <f>IF(N970="","",IF(N970=1,0,MATCH(C970&amp;"|"&amp;(N970-1),$O$5:$O$1004,0)))</f>
        <v/>
      </c>
      <c r="Q970" t="str">
        <f>IF(N970="","",IF(P970=0,SUMIFS(Calcoli!$C$7:$C$21,Calcoli!$A$7:$A$21,C970),INDEX($S$5:$S$1004,P970)))</f>
        <v/>
      </c>
      <c r="R970" t="str">
        <f>IF(N970="","",IF(P970=0,SUMIFS(Calcoli!$D$7:$D$21,Calcoli!$A$7:$A$21,C970),INDEX($T$5:$T$1004,P970)))</f>
        <v/>
      </c>
      <c r="S970" t="str">
        <f>IF(N970="","",IF(B970="Acquisto",Q970+N(D970),MAX(0,Q970-N(D970))))</f>
        <v/>
      </c>
      <c r="T970" t="str">
        <f>IF(N970="","",IF(B970="Acquisto",R970+J970+N(G970),IF(Q970&lt;=0,0,R970*(1-MIN(1,N(D970)/Q970)))))</f>
        <v/>
      </c>
      <c r="U970" t="str">
        <f>IF(B970&lt;&gt;"Vendita","",J970-N(G970)-IF(Q970&lt;=0,0,R970*MIN(1,N(D970)/Q970)))</f>
        <v/>
      </c>
      <c r="V970" t="str">
        <f>IF(B970&lt;&gt;"Dividendo","",IF(Calcoli!$B$251=1,J970,L970))</f>
        <v/>
      </c>
      <c r="W970" t="str">
        <f>IF(AND(V970&lt;&gt;"",ISNUMBER(A970)),A970,"")</f>
        <v/>
      </c>
    </row>
    <row r="971">
      <c r="A971" s="134" t="n"/>
      <c r="B971" s="116" t="n"/>
      <c r="C971" s="116" t="n"/>
      <c r="D971" s="121" t="n"/>
      <c r="E971" s="120" t="n"/>
      <c r="F971" s="120" t="n"/>
      <c r="G971" s="120" t="n"/>
      <c r="H971" s="120" t="n"/>
      <c r="I971" s="117" t="n"/>
      <c r="J971" s="123" t="str">
        <f>IF(B971="","",IF(F971&lt;&gt;"",N(F971),ROUND(N(D971)*N(E971),2)))</f>
        <v/>
      </c>
      <c r="K971" s="123" t="str">
        <f>IF(B971="","",IF(H971&lt;&gt;"",N(H971),IF(B971="Dividendo",ROUND(J971*IFERROR(INDEX(Calcoli!$V$7:$V$21,MATCH(C971,Calcoli!$A$7:$A$21,0)),0.26),2),IF(B971="Vendita",ROUND(MAX(0,U971)*IFERROR(INDEX(Calcoli!$V$7:$V$21,MATCH(C971,Calcoli!$A$7:$A$21,0)),0.26),2),0))))</f>
        <v/>
      </c>
      <c r="L971" s="135" t="str">
        <f>IF(B971="","",IF(B971="Acquisto",-(J971+N(G971)),J971-N(G971)-K971))</f>
        <v/>
      </c>
      <c r="M971" s="127" t="str">
        <f>IF(B971="","",IF(ISNA(MATCH(C971,ETF!$A$7:$A$21,0)),"ETF?",IF(NOT(ISNUMBER(A971)),"Data?",IF(AND(B971&lt;&gt;"Dividendo",N(D971)&lt;=0),"Quote?",IF(AND(B971="Vendita",N(D971)&gt;N(Q971)+0.000001),"Quote?",IF(J971&lt;=0,"Importo?","✓"))))))</f>
        <v/>
      </c>
      <c r="N971" t="str">
        <f>IF(OR(B971="Acquisto",B971="Vendita"),COUNTIFS($C$5:C971,C971,$B$5:B971,"Acquisto")+COUNTIFS($C$5:C971,C971,$B$5:B971,"Vendita"),"")</f>
        <v/>
      </c>
      <c r="O971" t="str">
        <f>IF(N971="","",C971&amp;"|"&amp;N971)</f>
        <v/>
      </c>
      <c r="P971" t="str">
        <f>IF(N971="","",IF(N971=1,0,MATCH(C971&amp;"|"&amp;(N971-1),$O$5:$O$1004,0)))</f>
        <v/>
      </c>
      <c r="Q971" t="str">
        <f>IF(N971="","",IF(P971=0,SUMIFS(Calcoli!$C$7:$C$21,Calcoli!$A$7:$A$21,C971),INDEX($S$5:$S$1004,P971)))</f>
        <v/>
      </c>
      <c r="R971" t="str">
        <f>IF(N971="","",IF(P971=0,SUMIFS(Calcoli!$D$7:$D$21,Calcoli!$A$7:$A$21,C971),INDEX($T$5:$T$1004,P971)))</f>
        <v/>
      </c>
      <c r="S971" t="str">
        <f>IF(N971="","",IF(B971="Acquisto",Q971+N(D971),MAX(0,Q971-N(D971))))</f>
        <v/>
      </c>
      <c r="T971" t="str">
        <f>IF(N971="","",IF(B971="Acquisto",R971+J971+N(G971),IF(Q971&lt;=0,0,R971*(1-MIN(1,N(D971)/Q971)))))</f>
        <v/>
      </c>
      <c r="U971" t="str">
        <f>IF(B971&lt;&gt;"Vendita","",J971-N(G971)-IF(Q971&lt;=0,0,R971*MIN(1,N(D971)/Q971)))</f>
        <v/>
      </c>
      <c r="V971" t="str">
        <f>IF(B971&lt;&gt;"Dividendo","",IF(Calcoli!$B$251=1,J971,L971))</f>
        <v/>
      </c>
      <c r="W971" t="str">
        <f>IF(AND(V971&lt;&gt;"",ISNUMBER(A971)),A971,"")</f>
        <v/>
      </c>
    </row>
    <row r="972">
      <c r="A972" s="134" t="n"/>
      <c r="B972" s="116" t="n"/>
      <c r="C972" s="116" t="n"/>
      <c r="D972" s="121" t="n"/>
      <c r="E972" s="120" t="n"/>
      <c r="F972" s="120" t="n"/>
      <c r="G972" s="120" t="n"/>
      <c r="H972" s="120" t="n"/>
      <c r="I972" s="117" t="n"/>
      <c r="J972" s="123" t="str">
        <f>IF(B972="","",IF(F972&lt;&gt;"",N(F972),ROUND(N(D972)*N(E972),2)))</f>
        <v/>
      </c>
      <c r="K972" s="123" t="str">
        <f>IF(B972="","",IF(H972&lt;&gt;"",N(H972),IF(B972="Dividendo",ROUND(J972*IFERROR(INDEX(Calcoli!$V$7:$V$21,MATCH(C972,Calcoli!$A$7:$A$21,0)),0.26),2),IF(B972="Vendita",ROUND(MAX(0,U972)*IFERROR(INDEX(Calcoli!$V$7:$V$21,MATCH(C972,Calcoli!$A$7:$A$21,0)),0.26),2),0))))</f>
        <v/>
      </c>
      <c r="L972" s="135" t="str">
        <f>IF(B972="","",IF(B972="Acquisto",-(J972+N(G972)),J972-N(G972)-K972))</f>
        <v/>
      </c>
      <c r="M972" s="127" t="str">
        <f>IF(B972="","",IF(ISNA(MATCH(C972,ETF!$A$7:$A$21,0)),"ETF?",IF(NOT(ISNUMBER(A972)),"Data?",IF(AND(B972&lt;&gt;"Dividendo",N(D972)&lt;=0),"Quote?",IF(AND(B972="Vendita",N(D972)&gt;N(Q972)+0.000001),"Quote?",IF(J972&lt;=0,"Importo?","✓"))))))</f>
        <v/>
      </c>
      <c r="N972" t="str">
        <f>IF(OR(B972="Acquisto",B972="Vendita"),COUNTIFS($C$5:C972,C972,$B$5:B972,"Acquisto")+COUNTIFS($C$5:C972,C972,$B$5:B972,"Vendita"),"")</f>
        <v/>
      </c>
      <c r="O972" t="str">
        <f>IF(N972="","",C972&amp;"|"&amp;N972)</f>
        <v/>
      </c>
      <c r="P972" t="str">
        <f>IF(N972="","",IF(N972=1,0,MATCH(C972&amp;"|"&amp;(N972-1),$O$5:$O$1004,0)))</f>
        <v/>
      </c>
      <c r="Q972" t="str">
        <f>IF(N972="","",IF(P972=0,SUMIFS(Calcoli!$C$7:$C$21,Calcoli!$A$7:$A$21,C972),INDEX($S$5:$S$1004,P972)))</f>
        <v/>
      </c>
      <c r="R972" t="str">
        <f>IF(N972="","",IF(P972=0,SUMIFS(Calcoli!$D$7:$D$21,Calcoli!$A$7:$A$21,C972),INDEX($T$5:$T$1004,P972)))</f>
        <v/>
      </c>
      <c r="S972" t="str">
        <f>IF(N972="","",IF(B972="Acquisto",Q972+N(D972),MAX(0,Q972-N(D972))))</f>
        <v/>
      </c>
      <c r="T972" t="str">
        <f>IF(N972="","",IF(B972="Acquisto",R972+J972+N(G972),IF(Q972&lt;=0,0,R972*(1-MIN(1,N(D972)/Q972)))))</f>
        <v/>
      </c>
      <c r="U972" t="str">
        <f>IF(B972&lt;&gt;"Vendita","",J972-N(G972)-IF(Q972&lt;=0,0,R972*MIN(1,N(D972)/Q972)))</f>
        <v/>
      </c>
      <c r="V972" t="str">
        <f>IF(B972&lt;&gt;"Dividendo","",IF(Calcoli!$B$251=1,J972,L972))</f>
        <v/>
      </c>
      <c r="W972" t="str">
        <f>IF(AND(V972&lt;&gt;"",ISNUMBER(A972)),A972,"")</f>
        <v/>
      </c>
    </row>
    <row r="973">
      <c r="A973" s="134" t="n"/>
      <c r="B973" s="116" t="n"/>
      <c r="C973" s="116" t="n"/>
      <c r="D973" s="121" t="n"/>
      <c r="E973" s="120" t="n"/>
      <c r="F973" s="120" t="n"/>
      <c r="G973" s="120" t="n"/>
      <c r="H973" s="120" t="n"/>
      <c r="I973" s="117" t="n"/>
      <c r="J973" s="123" t="str">
        <f>IF(B973="","",IF(F973&lt;&gt;"",N(F973),ROUND(N(D973)*N(E973),2)))</f>
        <v/>
      </c>
      <c r="K973" s="123" t="str">
        <f>IF(B973="","",IF(H973&lt;&gt;"",N(H973),IF(B973="Dividendo",ROUND(J973*IFERROR(INDEX(Calcoli!$V$7:$V$21,MATCH(C973,Calcoli!$A$7:$A$21,0)),0.26),2),IF(B973="Vendita",ROUND(MAX(0,U973)*IFERROR(INDEX(Calcoli!$V$7:$V$21,MATCH(C973,Calcoli!$A$7:$A$21,0)),0.26),2),0))))</f>
        <v/>
      </c>
      <c r="L973" s="135" t="str">
        <f>IF(B973="","",IF(B973="Acquisto",-(J973+N(G973)),J973-N(G973)-K973))</f>
        <v/>
      </c>
      <c r="M973" s="127" t="str">
        <f>IF(B973="","",IF(ISNA(MATCH(C973,ETF!$A$7:$A$21,0)),"ETF?",IF(NOT(ISNUMBER(A973)),"Data?",IF(AND(B973&lt;&gt;"Dividendo",N(D973)&lt;=0),"Quote?",IF(AND(B973="Vendita",N(D973)&gt;N(Q973)+0.000001),"Quote?",IF(J973&lt;=0,"Importo?","✓"))))))</f>
        <v/>
      </c>
      <c r="N973" t="str">
        <f>IF(OR(B973="Acquisto",B973="Vendita"),COUNTIFS($C$5:C973,C973,$B$5:B973,"Acquisto")+COUNTIFS($C$5:C973,C973,$B$5:B973,"Vendita"),"")</f>
        <v/>
      </c>
      <c r="O973" t="str">
        <f>IF(N973="","",C973&amp;"|"&amp;N973)</f>
        <v/>
      </c>
      <c r="P973" t="str">
        <f>IF(N973="","",IF(N973=1,0,MATCH(C973&amp;"|"&amp;(N973-1),$O$5:$O$1004,0)))</f>
        <v/>
      </c>
      <c r="Q973" t="str">
        <f>IF(N973="","",IF(P973=0,SUMIFS(Calcoli!$C$7:$C$21,Calcoli!$A$7:$A$21,C973),INDEX($S$5:$S$1004,P973)))</f>
        <v/>
      </c>
      <c r="R973" t="str">
        <f>IF(N973="","",IF(P973=0,SUMIFS(Calcoli!$D$7:$D$21,Calcoli!$A$7:$A$21,C973),INDEX($T$5:$T$1004,P973)))</f>
        <v/>
      </c>
      <c r="S973" t="str">
        <f>IF(N973="","",IF(B973="Acquisto",Q973+N(D973),MAX(0,Q973-N(D973))))</f>
        <v/>
      </c>
      <c r="T973" t="str">
        <f>IF(N973="","",IF(B973="Acquisto",R973+J973+N(G973),IF(Q973&lt;=0,0,R973*(1-MIN(1,N(D973)/Q973)))))</f>
        <v/>
      </c>
      <c r="U973" t="str">
        <f>IF(B973&lt;&gt;"Vendita","",J973-N(G973)-IF(Q973&lt;=0,0,R973*MIN(1,N(D973)/Q973)))</f>
        <v/>
      </c>
      <c r="V973" t="str">
        <f>IF(B973&lt;&gt;"Dividendo","",IF(Calcoli!$B$251=1,J973,L973))</f>
        <v/>
      </c>
      <c r="W973" t="str">
        <f>IF(AND(V973&lt;&gt;"",ISNUMBER(A973)),A973,"")</f>
        <v/>
      </c>
    </row>
    <row r="974">
      <c r="A974" s="134" t="n"/>
      <c r="B974" s="116" t="n"/>
      <c r="C974" s="116" t="n"/>
      <c r="D974" s="121" t="n"/>
      <c r="E974" s="120" t="n"/>
      <c r="F974" s="120" t="n"/>
      <c r="G974" s="120" t="n"/>
      <c r="H974" s="120" t="n"/>
      <c r="I974" s="117" t="n"/>
      <c r="J974" s="123" t="str">
        <f>IF(B974="","",IF(F974&lt;&gt;"",N(F974),ROUND(N(D974)*N(E974),2)))</f>
        <v/>
      </c>
      <c r="K974" s="123" t="str">
        <f>IF(B974="","",IF(H974&lt;&gt;"",N(H974),IF(B974="Dividendo",ROUND(J974*IFERROR(INDEX(Calcoli!$V$7:$V$21,MATCH(C974,Calcoli!$A$7:$A$21,0)),0.26),2),IF(B974="Vendita",ROUND(MAX(0,U974)*IFERROR(INDEX(Calcoli!$V$7:$V$21,MATCH(C974,Calcoli!$A$7:$A$21,0)),0.26),2),0))))</f>
        <v/>
      </c>
      <c r="L974" s="135" t="str">
        <f>IF(B974="","",IF(B974="Acquisto",-(J974+N(G974)),J974-N(G974)-K974))</f>
        <v/>
      </c>
      <c r="M974" s="127" t="str">
        <f>IF(B974="","",IF(ISNA(MATCH(C974,ETF!$A$7:$A$21,0)),"ETF?",IF(NOT(ISNUMBER(A974)),"Data?",IF(AND(B974&lt;&gt;"Dividendo",N(D974)&lt;=0),"Quote?",IF(AND(B974="Vendita",N(D974)&gt;N(Q974)+0.000001),"Quote?",IF(J974&lt;=0,"Importo?","✓"))))))</f>
        <v/>
      </c>
      <c r="N974" t="str">
        <f>IF(OR(B974="Acquisto",B974="Vendita"),COUNTIFS($C$5:C974,C974,$B$5:B974,"Acquisto")+COUNTIFS($C$5:C974,C974,$B$5:B974,"Vendita"),"")</f>
        <v/>
      </c>
      <c r="O974" t="str">
        <f>IF(N974="","",C974&amp;"|"&amp;N974)</f>
        <v/>
      </c>
      <c r="P974" t="str">
        <f>IF(N974="","",IF(N974=1,0,MATCH(C974&amp;"|"&amp;(N974-1),$O$5:$O$1004,0)))</f>
        <v/>
      </c>
      <c r="Q974" t="str">
        <f>IF(N974="","",IF(P974=0,SUMIFS(Calcoli!$C$7:$C$21,Calcoli!$A$7:$A$21,C974),INDEX($S$5:$S$1004,P974)))</f>
        <v/>
      </c>
      <c r="R974" t="str">
        <f>IF(N974="","",IF(P974=0,SUMIFS(Calcoli!$D$7:$D$21,Calcoli!$A$7:$A$21,C974),INDEX($T$5:$T$1004,P974)))</f>
        <v/>
      </c>
      <c r="S974" t="str">
        <f>IF(N974="","",IF(B974="Acquisto",Q974+N(D974),MAX(0,Q974-N(D974))))</f>
        <v/>
      </c>
      <c r="T974" t="str">
        <f>IF(N974="","",IF(B974="Acquisto",R974+J974+N(G974),IF(Q974&lt;=0,0,R974*(1-MIN(1,N(D974)/Q974)))))</f>
        <v/>
      </c>
      <c r="U974" t="str">
        <f>IF(B974&lt;&gt;"Vendita","",J974-N(G974)-IF(Q974&lt;=0,0,R974*MIN(1,N(D974)/Q974)))</f>
        <v/>
      </c>
      <c r="V974" t="str">
        <f>IF(B974&lt;&gt;"Dividendo","",IF(Calcoli!$B$251=1,J974,L974))</f>
        <v/>
      </c>
      <c r="W974" t="str">
        <f>IF(AND(V974&lt;&gt;"",ISNUMBER(A974)),A974,"")</f>
        <v/>
      </c>
    </row>
    <row r="975">
      <c r="A975" s="134" t="n"/>
      <c r="B975" s="116" t="n"/>
      <c r="C975" s="116" t="n"/>
      <c r="D975" s="121" t="n"/>
      <c r="E975" s="120" t="n"/>
      <c r="F975" s="120" t="n"/>
      <c r="G975" s="120" t="n"/>
      <c r="H975" s="120" t="n"/>
      <c r="I975" s="117" t="n"/>
      <c r="J975" s="123" t="str">
        <f>IF(B975="","",IF(F975&lt;&gt;"",N(F975),ROUND(N(D975)*N(E975),2)))</f>
        <v/>
      </c>
      <c r="K975" s="123" t="str">
        <f>IF(B975="","",IF(H975&lt;&gt;"",N(H975),IF(B975="Dividendo",ROUND(J975*IFERROR(INDEX(Calcoli!$V$7:$V$21,MATCH(C975,Calcoli!$A$7:$A$21,0)),0.26),2),IF(B975="Vendita",ROUND(MAX(0,U975)*IFERROR(INDEX(Calcoli!$V$7:$V$21,MATCH(C975,Calcoli!$A$7:$A$21,0)),0.26),2),0))))</f>
        <v/>
      </c>
      <c r="L975" s="135" t="str">
        <f>IF(B975="","",IF(B975="Acquisto",-(J975+N(G975)),J975-N(G975)-K975))</f>
        <v/>
      </c>
      <c r="M975" s="127" t="str">
        <f>IF(B975="","",IF(ISNA(MATCH(C975,ETF!$A$7:$A$21,0)),"ETF?",IF(NOT(ISNUMBER(A975)),"Data?",IF(AND(B975&lt;&gt;"Dividendo",N(D975)&lt;=0),"Quote?",IF(AND(B975="Vendita",N(D975)&gt;N(Q975)+0.000001),"Quote?",IF(J975&lt;=0,"Importo?","✓"))))))</f>
        <v/>
      </c>
      <c r="N975" t="str">
        <f>IF(OR(B975="Acquisto",B975="Vendita"),COUNTIFS($C$5:C975,C975,$B$5:B975,"Acquisto")+COUNTIFS($C$5:C975,C975,$B$5:B975,"Vendita"),"")</f>
        <v/>
      </c>
      <c r="O975" t="str">
        <f>IF(N975="","",C975&amp;"|"&amp;N975)</f>
        <v/>
      </c>
      <c r="P975" t="str">
        <f>IF(N975="","",IF(N975=1,0,MATCH(C975&amp;"|"&amp;(N975-1),$O$5:$O$1004,0)))</f>
        <v/>
      </c>
      <c r="Q975" t="str">
        <f>IF(N975="","",IF(P975=0,SUMIFS(Calcoli!$C$7:$C$21,Calcoli!$A$7:$A$21,C975),INDEX($S$5:$S$1004,P975)))</f>
        <v/>
      </c>
      <c r="R975" t="str">
        <f>IF(N975="","",IF(P975=0,SUMIFS(Calcoli!$D$7:$D$21,Calcoli!$A$7:$A$21,C975),INDEX($T$5:$T$1004,P975)))</f>
        <v/>
      </c>
      <c r="S975" t="str">
        <f>IF(N975="","",IF(B975="Acquisto",Q975+N(D975),MAX(0,Q975-N(D975))))</f>
        <v/>
      </c>
      <c r="T975" t="str">
        <f>IF(N975="","",IF(B975="Acquisto",R975+J975+N(G975),IF(Q975&lt;=0,0,R975*(1-MIN(1,N(D975)/Q975)))))</f>
        <v/>
      </c>
      <c r="U975" t="str">
        <f>IF(B975&lt;&gt;"Vendita","",J975-N(G975)-IF(Q975&lt;=0,0,R975*MIN(1,N(D975)/Q975)))</f>
        <v/>
      </c>
      <c r="V975" t="str">
        <f>IF(B975&lt;&gt;"Dividendo","",IF(Calcoli!$B$251=1,J975,L975))</f>
        <v/>
      </c>
      <c r="W975" t="str">
        <f>IF(AND(V975&lt;&gt;"",ISNUMBER(A975)),A975,"")</f>
        <v/>
      </c>
    </row>
    <row r="976">
      <c r="A976" s="134" t="n"/>
      <c r="B976" s="116" t="n"/>
      <c r="C976" s="116" t="n"/>
      <c r="D976" s="121" t="n"/>
      <c r="E976" s="120" t="n"/>
      <c r="F976" s="120" t="n"/>
      <c r="G976" s="120" t="n"/>
      <c r="H976" s="120" t="n"/>
      <c r="I976" s="117" t="n"/>
      <c r="J976" s="123" t="str">
        <f>IF(B976="","",IF(F976&lt;&gt;"",N(F976),ROUND(N(D976)*N(E976),2)))</f>
        <v/>
      </c>
      <c r="K976" s="123" t="str">
        <f>IF(B976="","",IF(H976&lt;&gt;"",N(H976),IF(B976="Dividendo",ROUND(J976*IFERROR(INDEX(Calcoli!$V$7:$V$21,MATCH(C976,Calcoli!$A$7:$A$21,0)),0.26),2),IF(B976="Vendita",ROUND(MAX(0,U976)*IFERROR(INDEX(Calcoli!$V$7:$V$21,MATCH(C976,Calcoli!$A$7:$A$21,0)),0.26),2),0))))</f>
        <v/>
      </c>
      <c r="L976" s="135" t="str">
        <f>IF(B976="","",IF(B976="Acquisto",-(J976+N(G976)),J976-N(G976)-K976))</f>
        <v/>
      </c>
      <c r="M976" s="127" t="str">
        <f>IF(B976="","",IF(ISNA(MATCH(C976,ETF!$A$7:$A$21,0)),"ETF?",IF(NOT(ISNUMBER(A976)),"Data?",IF(AND(B976&lt;&gt;"Dividendo",N(D976)&lt;=0),"Quote?",IF(AND(B976="Vendita",N(D976)&gt;N(Q976)+0.000001),"Quote?",IF(J976&lt;=0,"Importo?","✓"))))))</f>
        <v/>
      </c>
      <c r="N976" t="str">
        <f>IF(OR(B976="Acquisto",B976="Vendita"),COUNTIFS($C$5:C976,C976,$B$5:B976,"Acquisto")+COUNTIFS($C$5:C976,C976,$B$5:B976,"Vendita"),"")</f>
        <v/>
      </c>
      <c r="O976" t="str">
        <f>IF(N976="","",C976&amp;"|"&amp;N976)</f>
        <v/>
      </c>
      <c r="P976" t="str">
        <f>IF(N976="","",IF(N976=1,0,MATCH(C976&amp;"|"&amp;(N976-1),$O$5:$O$1004,0)))</f>
        <v/>
      </c>
      <c r="Q976" t="str">
        <f>IF(N976="","",IF(P976=0,SUMIFS(Calcoli!$C$7:$C$21,Calcoli!$A$7:$A$21,C976),INDEX($S$5:$S$1004,P976)))</f>
        <v/>
      </c>
      <c r="R976" t="str">
        <f>IF(N976="","",IF(P976=0,SUMIFS(Calcoli!$D$7:$D$21,Calcoli!$A$7:$A$21,C976),INDEX($T$5:$T$1004,P976)))</f>
        <v/>
      </c>
      <c r="S976" t="str">
        <f>IF(N976="","",IF(B976="Acquisto",Q976+N(D976),MAX(0,Q976-N(D976))))</f>
        <v/>
      </c>
      <c r="T976" t="str">
        <f>IF(N976="","",IF(B976="Acquisto",R976+J976+N(G976),IF(Q976&lt;=0,0,R976*(1-MIN(1,N(D976)/Q976)))))</f>
        <v/>
      </c>
      <c r="U976" t="str">
        <f>IF(B976&lt;&gt;"Vendita","",J976-N(G976)-IF(Q976&lt;=0,0,R976*MIN(1,N(D976)/Q976)))</f>
        <v/>
      </c>
      <c r="V976" t="str">
        <f>IF(B976&lt;&gt;"Dividendo","",IF(Calcoli!$B$251=1,J976,L976))</f>
        <v/>
      </c>
      <c r="W976" t="str">
        <f>IF(AND(V976&lt;&gt;"",ISNUMBER(A976)),A976,"")</f>
        <v/>
      </c>
    </row>
    <row r="977">
      <c r="A977" s="134" t="n"/>
      <c r="B977" s="116" t="n"/>
      <c r="C977" s="116" t="n"/>
      <c r="D977" s="121" t="n"/>
      <c r="E977" s="120" t="n"/>
      <c r="F977" s="120" t="n"/>
      <c r="G977" s="120" t="n"/>
      <c r="H977" s="120" t="n"/>
      <c r="I977" s="117" t="n"/>
      <c r="J977" s="123" t="str">
        <f>IF(B977="","",IF(F977&lt;&gt;"",N(F977),ROUND(N(D977)*N(E977),2)))</f>
        <v/>
      </c>
      <c r="K977" s="123" t="str">
        <f>IF(B977="","",IF(H977&lt;&gt;"",N(H977),IF(B977="Dividendo",ROUND(J977*IFERROR(INDEX(Calcoli!$V$7:$V$21,MATCH(C977,Calcoli!$A$7:$A$21,0)),0.26),2),IF(B977="Vendita",ROUND(MAX(0,U977)*IFERROR(INDEX(Calcoli!$V$7:$V$21,MATCH(C977,Calcoli!$A$7:$A$21,0)),0.26),2),0))))</f>
        <v/>
      </c>
      <c r="L977" s="135" t="str">
        <f>IF(B977="","",IF(B977="Acquisto",-(J977+N(G977)),J977-N(G977)-K977))</f>
        <v/>
      </c>
      <c r="M977" s="127" t="str">
        <f>IF(B977="","",IF(ISNA(MATCH(C977,ETF!$A$7:$A$21,0)),"ETF?",IF(NOT(ISNUMBER(A977)),"Data?",IF(AND(B977&lt;&gt;"Dividendo",N(D977)&lt;=0),"Quote?",IF(AND(B977="Vendita",N(D977)&gt;N(Q977)+0.000001),"Quote?",IF(J977&lt;=0,"Importo?","✓"))))))</f>
        <v/>
      </c>
      <c r="N977" t="str">
        <f>IF(OR(B977="Acquisto",B977="Vendita"),COUNTIFS($C$5:C977,C977,$B$5:B977,"Acquisto")+COUNTIFS($C$5:C977,C977,$B$5:B977,"Vendita"),"")</f>
        <v/>
      </c>
      <c r="O977" t="str">
        <f>IF(N977="","",C977&amp;"|"&amp;N977)</f>
        <v/>
      </c>
      <c r="P977" t="str">
        <f>IF(N977="","",IF(N977=1,0,MATCH(C977&amp;"|"&amp;(N977-1),$O$5:$O$1004,0)))</f>
        <v/>
      </c>
      <c r="Q977" t="str">
        <f>IF(N977="","",IF(P977=0,SUMIFS(Calcoli!$C$7:$C$21,Calcoli!$A$7:$A$21,C977),INDEX($S$5:$S$1004,P977)))</f>
        <v/>
      </c>
      <c r="R977" t="str">
        <f>IF(N977="","",IF(P977=0,SUMIFS(Calcoli!$D$7:$D$21,Calcoli!$A$7:$A$21,C977),INDEX($T$5:$T$1004,P977)))</f>
        <v/>
      </c>
      <c r="S977" t="str">
        <f>IF(N977="","",IF(B977="Acquisto",Q977+N(D977),MAX(0,Q977-N(D977))))</f>
        <v/>
      </c>
      <c r="T977" t="str">
        <f>IF(N977="","",IF(B977="Acquisto",R977+J977+N(G977),IF(Q977&lt;=0,0,R977*(1-MIN(1,N(D977)/Q977)))))</f>
        <v/>
      </c>
      <c r="U977" t="str">
        <f>IF(B977&lt;&gt;"Vendita","",J977-N(G977)-IF(Q977&lt;=0,0,R977*MIN(1,N(D977)/Q977)))</f>
        <v/>
      </c>
      <c r="V977" t="str">
        <f>IF(B977&lt;&gt;"Dividendo","",IF(Calcoli!$B$251=1,J977,L977))</f>
        <v/>
      </c>
      <c r="W977" t="str">
        <f>IF(AND(V977&lt;&gt;"",ISNUMBER(A977)),A977,"")</f>
        <v/>
      </c>
    </row>
    <row r="978">
      <c r="A978" s="134" t="n"/>
      <c r="B978" s="116" t="n"/>
      <c r="C978" s="116" t="n"/>
      <c r="D978" s="121" t="n"/>
      <c r="E978" s="120" t="n"/>
      <c r="F978" s="120" t="n"/>
      <c r="G978" s="120" t="n"/>
      <c r="H978" s="120" t="n"/>
      <c r="I978" s="117" t="n"/>
      <c r="J978" s="123" t="str">
        <f>IF(B978="","",IF(F978&lt;&gt;"",N(F978),ROUND(N(D978)*N(E978),2)))</f>
        <v/>
      </c>
      <c r="K978" s="123" t="str">
        <f>IF(B978="","",IF(H978&lt;&gt;"",N(H978),IF(B978="Dividendo",ROUND(J978*IFERROR(INDEX(Calcoli!$V$7:$V$21,MATCH(C978,Calcoli!$A$7:$A$21,0)),0.26),2),IF(B978="Vendita",ROUND(MAX(0,U978)*IFERROR(INDEX(Calcoli!$V$7:$V$21,MATCH(C978,Calcoli!$A$7:$A$21,0)),0.26),2),0))))</f>
        <v/>
      </c>
      <c r="L978" s="135" t="str">
        <f>IF(B978="","",IF(B978="Acquisto",-(J978+N(G978)),J978-N(G978)-K978))</f>
        <v/>
      </c>
      <c r="M978" s="127" t="str">
        <f>IF(B978="","",IF(ISNA(MATCH(C978,ETF!$A$7:$A$21,0)),"ETF?",IF(NOT(ISNUMBER(A978)),"Data?",IF(AND(B978&lt;&gt;"Dividendo",N(D978)&lt;=0),"Quote?",IF(AND(B978="Vendita",N(D978)&gt;N(Q978)+0.000001),"Quote?",IF(J978&lt;=0,"Importo?","✓"))))))</f>
        <v/>
      </c>
      <c r="N978" t="str">
        <f>IF(OR(B978="Acquisto",B978="Vendita"),COUNTIFS($C$5:C978,C978,$B$5:B978,"Acquisto")+COUNTIFS($C$5:C978,C978,$B$5:B978,"Vendita"),"")</f>
        <v/>
      </c>
      <c r="O978" t="str">
        <f>IF(N978="","",C978&amp;"|"&amp;N978)</f>
        <v/>
      </c>
      <c r="P978" t="str">
        <f>IF(N978="","",IF(N978=1,0,MATCH(C978&amp;"|"&amp;(N978-1),$O$5:$O$1004,0)))</f>
        <v/>
      </c>
      <c r="Q978" t="str">
        <f>IF(N978="","",IF(P978=0,SUMIFS(Calcoli!$C$7:$C$21,Calcoli!$A$7:$A$21,C978),INDEX($S$5:$S$1004,P978)))</f>
        <v/>
      </c>
      <c r="R978" t="str">
        <f>IF(N978="","",IF(P978=0,SUMIFS(Calcoli!$D$7:$D$21,Calcoli!$A$7:$A$21,C978),INDEX($T$5:$T$1004,P978)))</f>
        <v/>
      </c>
      <c r="S978" t="str">
        <f>IF(N978="","",IF(B978="Acquisto",Q978+N(D978),MAX(0,Q978-N(D978))))</f>
        <v/>
      </c>
      <c r="T978" t="str">
        <f>IF(N978="","",IF(B978="Acquisto",R978+J978+N(G978),IF(Q978&lt;=0,0,R978*(1-MIN(1,N(D978)/Q978)))))</f>
        <v/>
      </c>
      <c r="U978" t="str">
        <f>IF(B978&lt;&gt;"Vendita","",J978-N(G978)-IF(Q978&lt;=0,0,R978*MIN(1,N(D978)/Q978)))</f>
        <v/>
      </c>
      <c r="V978" t="str">
        <f>IF(B978&lt;&gt;"Dividendo","",IF(Calcoli!$B$251=1,J978,L978))</f>
        <v/>
      </c>
      <c r="W978" t="str">
        <f>IF(AND(V978&lt;&gt;"",ISNUMBER(A978)),A978,"")</f>
        <v/>
      </c>
    </row>
    <row r="979">
      <c r="A979" s="134" t="n"/>
      <c r="B979" s="116" t="n"/>
      <c r="C979" s="116" t="n"/>
      <c r="D979" s="121" t="n"/>
      <c r="E979" s="120" t="n"/>
      <c r="F979" s="120" t="n"/>
      <c r="G979" s="120" t="n"/>
      <c r="H979" s="120" t="n"/>
      <c r="I979" s="117" t="n"/>
      <c r="J979" s="123" t="str">
        <f>IF(B979="","",IF(F979&lt;&gt;"",N(F979),ROUND(N(D979)*N(E979),2)))</f>
        <v/>
      </c>
      <c r="K979" s="123" t="str">
        <f>IF(B979="","",IF(H979&lt;&gt;"",N(H979),IF(B979="Dividendo",ROUND(J979*IFERROR(INDEX(Calcoli!$V$7:$V$21,MATCH(C979,Calcoli!$A$7:$A$21,0)),0.26),2),IF(B979="Vendita",ROUND(MAX(0,U979)*IFERROR(INDEX(Calcoli!$V$7:$V$21,MATCH(C979,Calcoli!$A$7:$A$21,0)),0.26),2),0))))</f>
        <v/>
      </c>
      <c r="L979" s="135" t="str">
        <f>IF(B979="","",IF(B979="Acquisto",-(J979+N(G979)),J979-N(G979)-K979))</f>
        <v/>
      </c>
      <c r="M979" s="127" t="str">
        <f>IF(B979="","",IF(ISNA(MATCH(C979,ETF!$A$7:$A$21,0)),"ETF?",IF(NOT(ISNUMBER(A979)),"Data?",IF(AND(B979&lt;&gt;"Dividendo",N(D979)&lt;=0),"Quote?",IF(AND(B979="Vendita",N(D979)&gt;N(Q979)+0.000001),"Quote?",IF(J979&lt;=0,"Importo?","✓"))))))</f>
        <v/>
      </c>
      <c r="N979" t="str">
        <f>IF(OR(B979="Acquisto",B979="Vendita"),COUNTIFS($C$5:C979,C979,$B$5:B979,"Acquisto")+COUNTIFS($C$5:C979,C979,$B$5:B979,"Vendita"),"")</f>
        <v/>
      </c>
      <c r="O979" t="str">
        <f>IF(N979="","",C979&amp;"|"&amp;N979)</f>
        <v/>
      </c>
      <c r="P979" t="str">
        <f>IF(N979="","",IF(N979=1,0,MATCH(C979&amp;"|"&amp;(N979-1),$O$5:$O$1004,0)))</f>
        <v/>
      </c>
      <c r="Q979" t="str">
        <f>IF(N979="","",IF(P979=0,SUMIFS(Calcoli!$C$7:$C$21,Calcoli!$A$7:$A$21,C979),INDEX($S$5:$S$1004,P979)))</f>
        <v/>
      </c>
      <c r="R979" t="str">
        <f>IF(N979="","",IF(P979=0,SUMIFS(Calcoli!$D$7:$D$21,Calcoli!$A$7:$A$21,C979),INDEX($T$5:$T$1004,P979)))</f>
        <v/>
      </c>
      <c r="S979" t="str">
        <f>IF(N979="","",IF(B979="Acquisto",Q979+N(D979),MAX(0,Q979-N(D979))))</f>
        <v/>
      </c>
      <c r="T979" t="str">
        <f>IF(N979="","",IF(B979="Acquisto",R979+J979+N(G979),IF(Q979&lt;=0,0,R979*(1-MIN(1,N(D979)/Q979)))))</f>
        <v/>
      </c>
      <c r="U979" t="str">
        <f>IF(B979&lt;&gt;"Vendita","",J979-N(G979)-IF(Q979&lt;=0,0,R979*MIN(1,N(D979)/Q979)))</f>
        <v/>
      </c>
      <c r="V979" t="str">
        <f>IF(B979&lt;&gt;"Dividendo","",IF(Calcoli!$B$251=1,J979,L979))</f>
        <v/>
      </c>
      <c r="W979" t="str">
        <f>IF(AND(V979&lt;&gt;"",ISNUMBER(A979)),A979,"")</f>
        <v/>
      </c>
    </row>
    <row r="980">
      <c r="A980" s="134" t="n"/>
      <c r="B980" s="116" t="n"/>
      <c r="C980" s="116" t="n"/>
      <c r="D980" s="121" t="n"/>
      <c r="E980" s="120" t="n"/>
      <c r="F980" s="120" t="n"/>
      <c r="G980" s="120" t="n"/>
      <c r="H980" s="120" t="n"/>
      <c r="I980" s="117" t="n"/>
      <c r="J980" s="123" t="str">
        <f>IF(B980="","",IF(F980&lt;&gt;"",N(F980),ROUND(N(D980)*N(E980),2)))</f>
        <v/>
      </c>
      <c r="K980" s="123" t="str">
        <f>IF(B980="","",IF(H980&lt;&gt;"",N(H980),IF(B980="Dividendo",ROUND(J980*IFERROR(INDEX(Calcoli!$V$7:$V$21,MATCH(C980,Calcoli!$A$7:$A$21,0)),0.26),2),IF(B980="Vendita",ROUND(MAX(0,U980)*IFERROR(INDEX(Calcoli!$V$7:$V$21,MATCH(C980,Calcoli!$A$7:$A$21,0)),0.26),2),0))))</f>
        <v/>
      </c>
      <c r="L980" s="135" t="str">
        <f>IF(B980="","",IF(B980="Acquisto",-(J980+N(G980)),J980-N(G980)-K980))</f>
        <v/>
      </c>
      <c r="M980" s="127" t="str">
        <f>IF(B980="","",IF(ISNA(MATCH(C980,ETF!$A$7:$A$21,0)),"ETF?",IF(NOT(ISNUMBER(A980)),"Data?",IF(AND(B980&lt;&gt;"Dividendo",N(D980)&lt;=0),"Quote?",IF(AND(B980="Vendita",N(D980)&gt;N(Q980)+0.000001),"Quote?",IF(J980&lt;=0,"Importo?","✓"))))))</f>
        <v/>
      </c>
      <c r="N980" t="str">
        <f>IF(OR(B980="Acquisto",B980="Vendita"),COUNTIFS($C$5:C980,C980,$B$5:B980,"Acquisto")+COUNTIFS($C$5:C980,C980,$B$5:B980,"Vendita"),"")</f>
        <v/>
      </c>
      <c r="O980" t="str">
        <f>IF(N980="","",C980&amp;"|"&amp;N980)</f>
        <v/>
      </c>
      <c r="P980" t="str">
        <f>IF(N980="","",IF(N980=1,0,MATCH(C980&amp;"|"&amp;(N980-1),$O$5:$O$1004,0)))</f>
        <v/>
      </c>
      <c r="Q980" t="str">
        <f>IF(N980="","",IF(P980=0,SUMIFS(Calcoli!$C$7:$C$21,Calcoli!$A$7:$A$21,C980),INDEX($S$5:$S$1004,P980)))</f>
        <v/>
      </c>
      <c r="R980" t="str">
        <f>IF(N980="","",IF(P980=0,SUMIFS(Calcoli!$D$7:$D$21,Calcoli!$A$7:$A$21,C980),INDEX($T$5:$T$1004,P980)))</f>
        <v/>
      </c>
      <c r="S980" t="str">
        <f>IF(N980="","",IF(B980="Acquisto",Q980+N(D980),MAX(0,Q980-N(D980))))</f>
        <v/>
      </c>
      <c r="T980" t="str">
        <f>IF(N980="","",IF(B980="Acquisto",R980+J980+N(G980),IF(Q980&lt;=0,0,R980*(1-MIN(1,N(D980)/Q980)))))</f>
        <v/>
      </c>
      <c r="U980" t="str">
        <f>IF(B980&lt;&gt;"Vendita","",J980-N(G980)-IF(Q980&lt;=0,0,R980*MIN(1,N(D980)/Q980)))</f>
        <v/>
      </c>
      <c r="V980" t="str">
        <f>IF(B980&lt;&gt;"Dividendo","",IF(Calcoli!$B$251=1,J980,L980))</f>
        <v/>
      </c>
      <c r="W980" t="str">
        <f>IF(AND(V980&lt;&gt;"",ISNUMBER(A980)),A980,"")</f>
        <v/>
      </c>
    </row>
    <row r="981">
      <c r="A981" s="134" t="n"/>
      <c r="B981" s="116" t="n"/>
      <c r="C981" s="116" t="n"/>
      <c r="D981" s="121" t="n"/>
      <c r="E981" s="120" t="n"/>
      <c r="F981" s="120" t="n"/>
      <c r="G981" s="120" t="n"/>
      <c r="H981" s="120" t="n"/>
      <c r="I981" s="117" t="n"/>
      <c r="J981" s="123" t="str">
        <f>IF(B981="","",IF(F981&lt;&gt;"",N(F981),ROUND(N(D981)*N(E981),2)))</f>
        <v/>
      </c>
      <c r="K981" s="123" t="str">
        <f>IF(B981="","",IF(H981&lt;&gt;"",N(H981),IF(B981="Dividendo",ROUND(J981*IFERROR(INDEX(Calcoli!$V$7:$V$21,MATCH(C981,Calcoli!$A$7:$A$21,0)),0.26),2),IF(B981="Vendita",ROUND(MAX(0,U981)*IFERROR(INDEX(Calcoli!$V$7:$V$21,MATCH(C981,Calcoli!$A$7:$A$21,0)),0.26),2),0))))</f>
        <v/>
      </c>
      <c r="L981" s="135" t="str">
        <f>IF(B981="","",IF(B981="Acquisto",-(J981+N(G981)),J981-N(G981)-K981))</f>
        <v/>
      </c>
      <c r="M981" s="127" t="str">
        <f>IF(B981="","",IF(ISNA(MATCH(C981,ETF!$A$7:$A$21,0)),"ETF?",IF(NOT(ISNUMBER(A981)),"Data?",IF(AND(B981&lt;&gt;"Dividendo",N(D981)&lt;=0),"Quote?",IF(AND(B981="Vendita",N(D981)&gt;N(Q981)+0.000001),"Quote?",IF(J981&lt;=0,"Importo?","✓"))))))</f>
        <v/>
      </c>
      <c r="N981" t="str">
        <f>IF(OR(B981="Acquisto",B981="Vendita"),COUNTIFS($C$5:C981,C981,$B$5:B981,"Acquisto")+COUNTIFS($C$5:C981,C981,$B$5:B981,"Vendita"),"")</f>
        <v/>
      </c>
      <c r="O981" t="str">
        <f>IF(N981="","",C981&amp;"|"&amp;N981)</f>
        <v/>
      </c>
      <c r="P981" t="str">
        <f>IF(N981="","",IF(N981=1,0,MATCH(C981&amp;"|"&amp;(N981-1),$O$5:$O$1004,0)))</f>
        <v/>
      </c>
      <c r="Q981" t="str">
        <f>IF(N981="","",IF(P981=0,SUMIFS(Calcoli!$C$7:$C$21,Calcoli!$A$7:$A$21,C981),INDEX($S$5:$S$1004,P981)))</f>
        <v/>
      </c>
      <c r="R981" t="str">
        <f>IF(N981="","",IF(P981=0,SUMIFS(Calcoli!$D$7:$D$21,Calcoli!$A$7:$A$21,C981),INDEX($T$5:$T$1004,P981)))</f>
        <v/>
      </c>
      <c r="S981" t="str">
        <f>IF(N981="","",IF(B981="Acquisto",Q981+N(D981),MAX(0,Q981-N(D981))))</f>
        <v/>
      </c>
      <c r="T981" t="str">
        <f>IF(N981="","",IF(B981="Acquisto",R981+J981+N(G981),IF(Q981&lt;=0,0,R981*(1-MIN(1,N(D981)/Q981)))))</f>
        <v/>
      </c>
      <c r="U981" t="str">
        <f>IF(B981&lt;&gt;"Vendita","",J981-N(G981)-IF(Q981&lt;=0,0,R981*MIN(1,N(D981)/Q981)))</f>
        <v/>
      </c>
      <c r="V981" t="str">
        <f>IF(B981&lt;&gt;"Dividendo","",IF(Calcoli!$B$251=1,J981,L981))</f>
        <v/>
      </c>
      <c r="W981" t="str">
        <f>IF(AND(V981&lt;&gt;"",ISNUMBER(A981)),A981,"")</f>
        <v/>
      </c>
    </row>
    <row r="982">
      <c r="A982" s="134" t="n"/>
      <c r="B982" s="116" t="n"/>
      <c r="C982" s="116" t="n"/>
      <c r="D982" s="121" t="n"/>
      <c r="E982" s="120" t="n"/>
      <c r="F982" s="120" t="n"/>
      <c r="G982" s="120" t="n"/>
      <c r="H982" s="120" t="n"/>
      <c r="I982" s="117" t="n"/>
      <c r="J982" s="123" t="str">
        <f>IF(B982="","",IF(F982&lt;&gt;"",N(F982),ROUND(N(D982)*N(E982),2)))</f>
        <v/>
      </c>
      <c r="K982" s="123" t="str">
        <f>IF(B982="","",IF(H982&lt;&gt;"",N(H982),IF(B982="Dividendo",ROUND(J982*IFERROR(INDEX(Calcoli!$V$7:$V$21,MATCH(C982,Calcoli!$A$7:$A$21,0)),0.26),2),IF(B982="Vendita",ROUND(MAX(0,U982)*IFERROR(INDEX(Calcoli!$V$7:$V$21,MATCH(C982,Calcoli!$A$7:$A$21,0)),0.26),2),0))))</f>
        <v/>
      </c>
      <c r="L982" s="135" t="str">
        <f>IF(B982="","",IF(B982="Acquisto",-(J982+N(G982)),J982-N(G982)-K982))</f>
        <v/>
      </c>
      <c r="M982" s="127" t="str">
        <f>IF(B982="","",IF(ISNA(MATCH(C982,ETF!$A$7:$A$21,0)),"ETF?",IF(NOT(ISNUMBER(A982)),"Data?",IF(AND(B982&lt;&gt;"Dividendo",N(D982)&lt;=0),"Quote?",IF(AND(B982="Vendita",N(D982)&gt;N(Q982)+0.000001),"Quote?",IF(J982&lt;=0,"Importo?","✓"))))))</f>
        <v/>
      </c>
      <c r="N982" t="str">
        <f>IF(OR(B982="Acquisto",B982="Vendita"),COUNTIFS($C$5:C982,C982,$B$5:B982,"Acquisto")+COUNTIFS($C$5:C982,C982,$B$5:B982,"Vendita"),"")</f>
        <v/>
      </c>
      <c r="O982" t="str">
        <f>IF(N982="","",C982&amp;"|"&amp;N982)</f>
        <v/>
      </c>
      <c r="P982" t="str">
        <f>IF(N982="","",IF(N982=1,0,MATCH(C982&amp;"|"&amp;(N982-1),$O$5:$O$1004,0)))</f>
        <v/>
      </c>
      <c r="Q982" t="str">
        <f>IF(N982="","",IF(P982=0,SUMIFS(Calcoli!$C$7:$C$21,Calcoli!$A$7:$A$21,C982),INDEX($S$5:$S$1004,P982)))</f>
        <v/>
      </c>
      <c r="R982" t="str">
        <f>IF(N982="","",IF(P982=0,SUMIFS(Calcoli!$D$7:$D$21,Calcoli!$A$7:$A$21,C982),INDEX($T$5:$T$1004,P982)))</f>
        <v/>
      </c>
      <c r="S982" t="str">
        <f>IF(N982="","",IF(B982="Acquisto",Q982+N(D982),MAX(0,Q982-N(D982))))</f>
        <v/>
      </c>
      <c r="T982" t="str">
        <f>IF(N982="","",IF(B982="Acquisto",R982+J982+N(G982),IF(Q982&lt;=0,0,R982*(1-MIN(1,N(D982)/Q982)))))</f>
        <v/>
      </c>
      <c r="U982" t="str">
        <f>IF(B982&lt;&gt;"Vendita","",J982-N(G982)-IF(Q982&lt;=0,0,R982*MIN(1,N(D982)/Q982)))</f>
        <v/>
      </c>
      <c r="V982" t="str">
        <f>IF(B982&lt;&gt;"Dividendo","",IF(Calcoli!$B$251=1,J982,L982))</f>
        <v/>
      </c>
      <c r="W982" t="str">
        <f>IF(AND(V982&lt;&gt;"",ISNUMBER(A982)),A982,"")</f>
        <v/>
      </c>
    </row>
    <row r="983">
      <c r="A983" s="134" t="n"/>
      <c r="B983" s="116" t="n"/>
      <c r="C983" s="116" t="n"/>
      <c r="D983" s="121" t="n"/>
      <c r="E983" s="120" t="n"/>
      <c r="F983" s="120" t="n"/>
      <c r="G983" s="120" t="n"/>
      <c r="H983" s="120" t="n"/>
      <c r="I983" s="117" t="n"/>
      <c r="J983" s="123" t="str">
        <f>IF(B983="","",IF(F983&lt;&gt;"",N(F983),ROUND(N(D983)*N(E983),2)))</f>
        <v/>
      </c>
      <c r="K983" s="123" t="str">
        <f>IF(B983="","",IF(H983&lt;&gt;"",N(H983),IF(B983="Dividendo",ROUND(J983*IFERROR(INDEX(Calcoli!$V$7:$V$21,MATCH(C983,Calcoli!$A$7:$A$21,0)),0.26),2),IF(B983="Vendita",ROUND(MAX(0,U983)*IFERROR(INDEX(Calcoli!$V$7:$V$21,MATCH(C983,Calcoli!$A$7:$A$21,0)),0.26),2),0))))</f>
        <v/>
      </c>
      <c r="L983" s="135" t="str">
        <f>IF(B983="","",IF(B983="Acquisto",-(J983+N(G983)),J983-N(G983)-K983))</f>
        <v/>
      </c>
      <c r="M983" s="127" t="str">
        <f>IF(B983="","",IF(ISNA(MATCH(C983,ETF!$A$7:$A$21,0)),"ETF?",IF(NOT(ISNUMBER(A983)),"Data?",IF(AND(B983&lt;&gt;"Dividendo",N(D983)&lt;=0),"Quote?",IF(AND(B983="Vendita",N(D983)&gt;N(Q983)+0.000001),"Quote?",IF(J983&lt;=0,"Importo?","✓"))))))</f>
        <v/>
      </c>
      <c r="N983" t="str">
        <f>IF(OR(B983="Acquisto",B983="Vendita"),COUNTIFS($C$5:C983,C983,$B$5:B983,"Acquisto")+COUNTIFS($C$5:C983,C983,$B$5:B983,"Vendita"),"")</f>
        <v/>
      </c>
      <c r="O983" t="str">
        <f>IF(N983="","",C983&amp;"|"&amp;N983)</f>
        <v/>
      </c>
      <c r="P983" t="str">
        <f>IF(N983="","",IF(N983=1,0,MATCH(C983&amp;"|"&amp;(N983-1),$O$5:$O$1004,0)))</f>
        <v/>
      </c>
      <c r="Q983" t="str">
        <f>IF(N983="","",IF(P983=0,SUMIFS(Calcoli!$C$7:$C$21,Calcoli!$A$7:$A$21,C983),INDEX($S$5:$S$1004,P983)))</f>
        <v/>
      </c>
      <c r="R983" t="str">
        <f>IF(N983="","",IF(P983=0,SUMIFS(Calcoli!$D$7:$D$21,Calcoli!$A$7:$A$21,C983),INDEX($T$5:$T$1004,P983)))</f>
        <v/>
      </c>
      <c r="S983" t="str">
        <f>IF(N983="","",IF(B983="Acquisto",Q983+N(D983),MAX(0,Q983-N(D983))))</f>
        <v/>
      </c>
      <c r="T983" t="str">
        <f>IF(N983="","",IF(B983="Acquisto",R983+J983+N(G983),IF(Q983&lt;=0,0,R983*(1-MIN(1,N(D983)/Q983)))))</f>
        <v/>
      </c>
      <c r="U983" t="str">
        <f>IF(B983&lt;&gt;"Vendita","",J983-N(G983)-IF(Q983&lt;=0,0,R983*MIN(1,N(D983)/Q983)))</f>
        <v/>
      </c>
      <c r="V983" t="str">
        <f>IF(B983&lt;&gt;"Dividendo","",IF(Calcoli!$B$251=1,J983,L983))</f>
        <v/>
      </c>
      <c r="W983" t="str">
        <f>IF(AND(V983&lt;&gt;"",ISNUMBER(A983)),A983,"")</f>
        <v/>
      </c>
    </row>
    <row r="984">
      <c r="A984" s="134" t="n"/>
      <c r="B984" s="116" t="n"/>
      <c r="C984" s="116" t="n"/>
      <c r="D984" s="121" t="n"/>
      <c r="E984" s="120" t="n"/>
      <c r="F984" s="120" t="n"/>
      <c r="G984" s="120" t="n"/>
      <c r="H984" s="120" t="n"/>
      <c r="I984" s="117" t="n"/>
      <c r="J984" s="123" t="str">
        <f>IF(B984="","",IF(F984&lt;&gt;"",N(F984),ROUND(N(D984)*N(E984),2)))</f>
        <v/>
      </c>
      <c r="K984" s="123" t="str">
        <f>IF(B984="","",IF(H984&lt;&gt;"",N(H984),IF(B984="Dividendo",ROUND(J984*IFERROR(INDEX(Calcoli!$V$7:$V$21,MATCH(C984,Calcoli!$A$7:$A$21,0)),0.26),2),IF(B984="Vendita",ROUND(MAX(0,U984)*IFERROR(INDEX(Calcoli!$V$7:$V$21,MATCH(C984,Calcoli!$A$7:$A$21,0)),0.26),2),0))))</f>
        <v/>
      </c>
      <c r="L984" s="135" t="str">
        <f>IF(B984="","",IF(B984="Acquisto",-(J984+N(G984)),J984-N(G984)-K984))</f>
        <v/>
      </c>
      <c r="M984" s="127" t="str">
        <f>IF(B984="","",IF(ISNA(MATCH(C984,ETF!$A$7:$A$21,0)),"ETF?",IF(NOT(ISNUMBER(A984)),"Data?",IF(AND(B984&lt;&gt;"Dividendo",N(D984)&lt;=0),"Quote?",IF(AND(B984="Vendita",N(D984)&gt;N(Q984)+0.000001),"Quote?",IF(J984&lt;=0,"Importo?","✓"))))))</f>
        <v/>
      </c>
      <c r="N984" t="str">
        <f>IF(OR(B984="Acquisto",B984="Vendita"),COUNTIFS($C$5:C984,C984,$B$5:B984,"Acquisto")+COUNTIFS($C$5:C984,C984,$B$5:B984,"Vendita"),"")</f>
        <v/>
      </c>
      <c r="O984" t="str">
        <f>IF(N984="","",C984&amp;"|"&amp;N984)</f>
        <v/>
      </c>
      <c r="P984" t="str">
        <f>IF(N984="","",IF(N984=1,0,MATCH(C984&amp;"|"&amp;(N984-1),$O$5:$O$1004,0)))</f>
        <v/>
      </c>
      <c r="Q984" t="str">
        <f>IF(N984="","",IF(P984=0,SUMIFS(Calcoli!$C$7:$C$21,Calcoli!$A$7:$A$21,C984),INDEX($S$5:$S$1004,P984)))</f>
        <v/>
      </c>
      <c r="R984" t="str">
        <f>IF(N984="","",IF(P984=0,SUMIFS(Calcoli!$D$7:$D$21,Calcoli!$A$7:$A$21,C984),INDEX($T$5:$T$1004,P984)))</f>
        <v/>
      </c>
      <c r="S984" t="str">
        <f>IF(N984="","",IF(B984="Acquisto",Q984+N(D984),MAX(0,Q984-N(D984))))</f>
        <v/>
      </c>
      <c r="T984" t="str">
        <f>IF(N984="","",IF(B984="Acquisto",R984+J984+N(G984),IF(Q984&lt;=0,0,R984*(1-MIN(1,N(D984)/Q984)))))</f>
        <v/>
      </c>
      <c r="U984" t="str">
        <f>IF(B984&lt;&gt;"Vendita","",J984-N(G984)-IF(Q984&lt;=0,0,R984*MIN(1,N(D984)/Q984)))</f>
        <v/>
      </c>
      <c r="V984" t="str">
        <f>IF(B984&lt;&gt;"Dividendo","",IF(Calcoli!$B$251=1,J984,L984))</f>
        <v/>
      </c>
      <c r="W984" t="str">
        <f>IF(AND(V984&lt;&gt;"",ISNUMBER(A984)),A984,"")</f>
        <v/>
      </c>
    </row>
    <row r="985">
      <c r="A985" s="134" t="n"/>
      <c r="B985" s="116" t="n"/>
      <c r="C985" s="116" t="n"/>
      <c r="D985" s="121" t="n"/>
      <c r="E985" s="120" t="n"/>
      <c r="F985" s="120" t="n"/>
      <c r="G985" s="120" t="n"/>
      <c r="H985" s="120" t="n"/>
      <c r="I985" s="117" t="n"/>
      <c r="J985" s="123" t="str">
        <f>IF(B985="","",IF(F985&lt;&gt;"",N(F985),ROUND(N(D985)*N(E985),2)))</f>
        <v/>
      </c>
      <c r="K985" s="123" t="str">
        <f>IF(B985="","",IF(H985&lt;&gt;"",N(H985),IF(B985="Dividendo",ROUND(J985*IFERROR(INDEX(Calcoli!$V$7:$V$21,MATCH(C985,Calcoli!$A$7:$A$21,0)),0.26),2),IF(B985="Vendita",ROUND(MAX(0,U985)*IFERROR(INDEX(Calcoli!$V$7:$V$21,MATCH(C985,Calcoli!$A$7:$A$21,0)),0.26),2),0))))</f>
        <v/>
      </c>
      <c r="L985" s="135" t="str">
        <f>IF(B985="","",IF(B985="Acquisto",-(J985+N(G985)),J985-N(G985)-K985))</f>
        <v/>
      </c>
      <c r="M985" s="127" t="str">
        <f>IF(B985="","",IF(ISNA(MATCH(C985,ETF!$A$7:$A$21,0)),"ETF?",IF(NOT(ISNUMBER(A985)),"Data?",IF(AND(B985&lt;&gt;"Dividendo",N(D985)&lt;=0),"Quote?",IF(AND(B985="Vendita",N(D985)&gt;N(Q985)+0.000001),"Quote?",IF(J985&lt;=0,"Importo?","✓"))))))</f>
        <v/>
      </c>
      <c r="N985" t="str">
        <f>IF(OR(B985="Acquisto",B985="Vendita"),COUNTIFS($C$5:C985,C985,$B$5:B985,"Acquisto")+COUNTIFS($C$5:C985,C985,$B$5:B985,"Vendita"),"")</f>
        <v/>
      </c>
      <c r="O985" t="str">
        <f>IF(N985="","",C985&amp;"|"&amp;N985)</f>
        <v/>
      </c>
      <c r="P985" t="str">
        <f>IF(N985="","",IF(N985=1,0,MATCH(C985&amp;"|"&amp;(N985-1),$O$5:$O$1004,0)))</f>
        <v/>
      </c>
      <c r="Q985" t="str">
        <f>IF(N985="","",IF(P985=0,SUMIFS(Calcoli!$C$7:$C$21,Calcoli!$A$7:$A$21,C985),INDEX($S$5:$S$1004,P985)))</f>
        <v/>
      </c>
      <c r="R985" t="str">
        <f>IF(N985="","",IF(P985=0,SUMIFS(Calcoli!$D$7:$D$21,Calcoli!$A$7:$A$21,C985),INDEX($T$5:$T$1004,P985)))</f>
        <v/>
      </c>
      <c r="S985" t="str">
        <f>IF(N985="","",IF(B985="Acquisto",Q985+N(D985),MAX(0,Q985-N(D985))))</f>
        <v/>
      </c>
      <c r="T985" t="str">
        <f>IF(N985="","",IF(B985="Acquisto",R985+J985+N(G985),IF(Q985&lt;=0,0,R985*(1-MIN(1,N(D985)/Q985)))))</f>
        <v/>
      </c>
      <c r="U985" t="str">
        <f>IF(B985&lt;&gt;"Vendita","",J985-N(G985)-IF(Q985&lt;=0,0,R985*MIN(1,N(D985)/Q985)))</f>
        <v/>
      </c>
      <c r="V985" t="str">
        <f>IF(B985&lt;&gt;"Dividendo","",IF(Calcoli!$B$251=1,J985,L985))</f>
        <v/>
      </c>
      <c r="W985" t="str">
        <f>IF(AND(V985&lt;&gt;"",ISNUMBER(A985)),A985,"")</f>
        <v/>
      </c>
    </row>
    <row r="986">
      <c r="A986" s="134" t="n"/>
      <c r="B986" s="116" t="n"/>
      <c r="C986" s="116" t="n"/>
      <c r="D986" s="121" t="n"/>
      <c r="E986" s="120" t="n"/>
      <c r="F986" s="120" t="n"/>
      <c r="G986" s="120" t="n"/>
      <c r="H986" s="120" t="n"/>
      <c r="I986" s="117" t="n"/>
      <c r="J986" s="123" t="str">
        <f>IF(B986="","",IF(F986&lt;&gt;"",N(F986),ROUND(N(D986)*N(E986),2)))</f>
        <v/>
      </c>
      <c r="K986" s="123" t="str">
        <f>IF(B986="","",IF(H986&lt;&gt;"",N(H986),IF(B986="Dividendo",ROUND(J986*IFERROR(INDEX(Calcoli!$V$7:$V$21,MATCH(C986,Calcoli!$A$7:$A$21,0)),0.26),2),IF(B986="Vendita",ROUND(MAX(0,U986)*IFERROR(INDEX(Calcoli!$V$7:$V$21,MATCH(C986,Calcoli!$A$7:$A$21,0)),0.26),2),0))))</f>
        <v/>
      </c>
      <c r="L986" s="135" t="str">
        <f>IF(B986="","",IF(B986="Acquisto",-(J986+N(G986)),J986-N(G986)-K986))</f>
        <v/>
      </c>
      <c r="M986" s="127" t="str">
        <f>IF(B986="","",IF(ISNA(MATCH(C986,ETF!$A$7:$A$21,0)),"ETF?",IF(NOT(ISNUMBER(A986)),"Data?",IF(AND(B986&lt;&gt;"Dividendo",N(D986)&lt;=0),"Quote?",IF(AND(B986="Vendita",N(D986)&gt;N(Q986)+0.000001),"Quote?",IF(J986&lt;=0,"Importo?","✓"))))))</f>
        <v/>
      </c>
      <c r="N986" t="str">
        <f>IF(OR(B986="Acquisto",B986="Vendita"),COUNTIFS($C$5:C986,C986,$B$5:B986,"Acquisto")+COUNTIFS($C$5:C986,C986,$B$5:B986,"Vendita"),"")</f>
        <v/>
      </c>
      <c r="O986" t="str">
        <f>IF(N986="","",C986&amp;"|"&amp;N986)</f>
        <v/>
      </c>
      <c r="P986" t="str">
        <f>IF(N986="","",IF(N986=1,0,MATCH(C986&amp;"|"&amp;(N986-1),$O$5:$O$1004,0)))</f>
        <v/>
      </c>
      <c r="Q986" t="str">
        <f>IF(N986="","",IF(P986=0,SUMIFS(Calcoli!$C$7:$C$21,Calcoli!$A$7:$A$21,C986),INDEX($S$5:$S$1004,P986)))</f>
        <v/>
      </c>
      <c r="R986" t="str">
        <f>IF(N986="","",IF(P986=0,SUMIFS(Calcoli!$D$7:$D$21,Calcoli!$A$7:$A$21,C986),INDEX($T$5:$T$1004,P986)))</f>
        <v/>
      </c>
      <c r="S986" t="str">
        <f>IF(N986="","",IF(B986="Acquisto",Q986+N(D986),MAX(0,Q986-N(D986))))</f>
        <v/>
      </c>
      <c r="T986" t="str">
        <f>IF(N986="","",IF(B986="Acquisto",R986+J986+N(G986),IF(Q986&lt;=0,0,R986*(1-MIN(1,N(D986)/Q986)))))</f>
        <v/>
      </c>
      <c r="U986" t="str">
        <f>IF(B986&lt;&gt;"Vendita","",J986-N(G986)-IF(Q986&lt;=0,0,R986*MIN(1,N(D986)/Q986)))</f>
        <v/>
      </c>
      <c r="V986" t="str">
        <f>IF(B986&lt;&gt;"Dividendo","",IF(Calcoli!$B$251=1,J986,L986))</f>
        <v/>
      </c>
      <c r="W986" t="str">
        <f>IF(AND(V986&lt;&gt;"",ISNUMBER(A986)),A986,"")</f>
        <v/>
      </c>
    </row>
    <row r="987">
      <c r="A987" s="134" t="n"/>
      <c r="B987" s="116" t="n"/>
      <c r="C987" s="116" t="n"/>
      <c r="D987" s="121" t="n"/>
      <c r="E987" s="120" t="n"/>
      <c r="F987" s="120" t="n"/>
      <c r="G987" s="120" t="n"/>
      <c r="H987" s="120" t="n"/>
      <c r="I987" s="117" t="n"/>
      <c r="J987" s="123" t="str">
        <f>IF(B987="","",IF(F987&lt;&gt;"",N(F987),ROUND(N(D987)*N(E987),2)))</f>
        <v/>
      </c>
      <c r="K987" s="123" t="str">
        <f>IF(B987="","",IF(H987&lt;&gt;"",N(H987),IF(B987="Dividendo",ROUND(J987*IFERROR(INDEX(Calcoli!$V$7:$V$21,MATCH(C987,Calcoli!$A$7:$A$21,0)),0.26),2),IF(B987="Vendita",ROUND(MAX(0,U987)*IFERROR(INDEX(Calcoli!$V$7:$V$21,MATCH(C987,Calcoli!$A$7:$A$21,0)),0.26),2),0))))</f>
        <v/>
      </c>
      <c r="L987" s="135" t="str">
        <f>IF(B987="","",IF(B987="Acquisto",-(J987+N(G987)),J987-N(G987)-K987))</f>
        <v/>
      </c>
      <c r="M987" s="127" t="str">
        <f>IF(B987="","",IF(ISNA(MATCH(C987,ETF!$A$7:$A$21,0)),"ETF?",IF(NOT(ISNUMBER(A987)),"Data?",IF(AND(B987&lt;&gt;"Dividendo",N(D987)&lt;=0),"Quote?",IF(AND(B987="Vendita",N(D987)&gt;N(Q987)+0.000001),"Quote?",IF(J987&lt;=0,"Importo?","✓"))))))</f>
        <v/>
      </c>
      <c r="N987" t="str">
        <f>IF(OR(B987="Acquisto",B987="Vendita"),COUNTIFS($C$5:C987,C987,$B$5:B987,"Acquisto")+COUNTIFS($C$5:C987,C987,$B$5:B987,"Vendita"),"")</f>
        <v/>
      </c>
      <c r="O987" t="str">
        <f>IF(N987="","",C987&amp;"|"&amp;N987)</f>
        <v/>
      </c>
      <c r="P987" t="str">
        <f>IF(N987="","",IF(N987=1,0,MATCH(C987&amp;"|"&amp;(N987-1),$O$5:$O$1004,0)))</f>
        <v/>
      </c>
      <c r="Q987" t="str">
        <f>IF(N987="","",IF(P987=0,SUMIFS(Calcoli!$C$7:$C$21,Calcoli!$A$7:$A$21,C987),INDEX($S$5:$S$1004,P987)))</f>
        <v/>
      </c>
      <c r="R987" t="str">
        <f>IF(N987="","",IF(P987=0,SUMIFS(Calcoli!$D$7:$D$21,Calcoli!$A$7:$A$21,C987),INDEX($T$5:$T$1004,P987)))</f>
        <v/>
      </c>
      <c r="S987" t="str">
        <f>IF(N987="","",IF(B987="Acquisto",Q987+N(D987),MAX(0,Q987-N(D987))))</f>
        <v/>
      </c>
      <c r="T987" t="str">
        <f>IF(N987="","",IF(B987="Acquisto",R987+J987+N(G987),IF(Q987&lt;=0,0,R987*(1-MIN(1,N(D987)/Q987)))))</f>
        <v/>
      </c>
      <c r="U987" t="str">
        <f>IF(B987&lt;&gt;"Vendita","",J987-N(G987)-IF(Q987&lt;=0,0,R987*MIN(1,N(D987)/Q987)))</f>
        <v/>
      </c>
      <c r="V987" t="str">
        <f>IF(B987&lt;&gt;"Dividendo","",IF(Calcoli!$B$251=1,J987,L987))</f>
        <v/>
      </c>
      <c r="W987" t="str">
        <f>IF(AND(V987&lt;&gt;"",ISNUMBER(A987)),A987,"")</f>
        <v/>
      </c>
    </row>
    <row r="988">
      <c r="A988" s="134" t="n"/>
      <c r="B988" s="116" t="n"/>
      <c r="C988" s="116" t="n"/>
      <c r="D988" s="121" t="n"/>
      <c r="E988" s="120" t="n"/>
      <c r="F988" s="120" t="n"/>
      <c r="G988" s="120" t="n"/>
      <c r="H988" s="120" t="n"/>
      <c r="I988" s="117" t="n"/>
      <c r="J988" s="123" t="str">
        <f>IF(B988="","",IF(F988&lt;&gt;"",N(F988),ROUND(N(D988)*N(E988),2)))</f>
        <v/>
      </c>
      <c r="K988" s="123" t="str">
        <f>IF(B988="","",IF(H988&lt;&gt;"",N(H988),IF(B988="Dividendo",ROUND(J988*IFERROR(INDEX(Calcoli!$V$7:$V$21,MATCH(C988,Calcoli!$A$7:$A$21,0)),0.26),2),IF(B988="Vendita",ROUND(MAX(0,U988)*IFERROR(INDEX(Calcoli!$V$7:$V$21,MATCH(C988,Calcoli!$A$7:$A$21,0)),0.26),2),0))))</f>
        <v/>
      </c>
      <c r="L988" s="135" t="str">
        <f>IF(B988="","",IF(B988="Acquisto",-(J988+N(G988)),J988-N(G988)-K988))</f>
        <v/>
      </c>
      <c r="M988" s="127" t="str">
        <f>IF(B988="","",IF(ISNA(MATCH(C988,ETF!$A$7:$A$21,0)),"ETF?",IF(NOT(ISNUMBER(A988)),"Data?",IF(AND(B988&lt;&gt;"Dividendo",N(D988)&lt;=0),"Quote?",IF(AND(B988="Vendita",N(D988)&gt;N(Q988)+0.000001),"Quote?",IF(J988&lt;=0,"Importo?","✓"))))))</f>
        <v/>
      </c>
      <c r="N988" t="str">
        <f>IF(OR(B988="Acquisto",B988="Vendita"),COUNTIFS($C$5:C988,C988,$B$5:B988,"Acquisto")+COUNTIFS($C$5:C988,C988,$B$5:B988,"Vendita"),"")</f>
        <v/>
      </c>
      <c r="O988" t="str">
        <f>IF(N988="","",C988&amp;"|"&amp;N988)</f>
        <v/>
      </c>
      <c r="P988" t="str">
        <f>IF(N988="","",IF(N988=1,0,MATCH(C988&amp;"|"&amp;(N988-1),$O$5:$O$1004,0)))</f>
        <v/>
      </c>
      <c r="Q988" t="str">
        <f>IF(N988="","",IF(P988=0,SUMIFS(Calcoli!$C$7:$C$21,Calcoli!$A$7:$A$21,C988),INDEX($S$5:$S$1004,P988)))</f>
        <v/>
      </c>
      <c r="R988" t="str">
        <f>IF(N988="","",IF(P988=0,SUMIFS(Calcoli!$D$7:$D$21,Calcoli!$A$7:$A$21,C988),INDEX($T$5:$T$1004,P988)))</f>
        <v/>
      </c>
      <c r="S988" t="str">
        <f>IF(N988="","",IF(B988="Acquisto",Q988+N(D988),MAX(0,Q988-N(D988))))</f>
        <v/>
      </c>
      <c r="T988" t="str">
        <f>IF(N988="","",IF(B988="Acquisto",R988+J988+N(G988),IF(Q988&lt;=0,0,R988*(1-MIN(1,N(D988)/Q988)))))</f>
        <v/>
      </c>
      <c r="U988" t="str">
        <f>IF(B988&lt;&gt;"Vendita","",J988-N(G988)-IF(Q988&lt;=0,0,R988*MIN(1,N(D988)/Q988)))</f>
        <v/>
      </c>
      <c r="V988" t="str">
        <f>IF(B988&lt;&gt;"Dividendo","",IF(Calcoli!$B$251=1,J988,L988))</f>
        <v/>
      </c>
      <c r="W988" t="str">
        <f>IF(AND(V988&lt;&gt;"",ISNUMBER(A988)),A988,"")</f>
        <v/>
      </c>
    </row>
    <row r="989">
      <c r="A989" s="134" t="n"/>
      <c r="B989" s="116" t="n"/>
      <c r="C989" s="116" t="n"/>
      <c r="D989" s="121" t="n"/>
      <c r="E989" s="120" t="n"/>
      <c r="F989" s="120" t="n"/>
      <c r="G989" s="120" t="n"/>
      <c r="H989" s="120" t="n"/>
      <c r="I989" s="117" t="n"/>
      <c r="J989" s="123" t="str">
        <f>IF(B989="","",IF(F989&lt;&gt;"",N(F989),ROUND(N(D989)*N(E989),2)))</f>
        <v/>
      </c>
      <c r="K989" s="123" t="str">
        <f>IF(B989="","",IF(H989&lt;&gt;"",N(H989),IF(B989="Dividendo",ROUND(J989*IFERROR(INDEX(Calcoli!$V$7:$V$21,MATCH(C989,Calcoli!$A$7:$A$21,0)),0.26),2),IF(B989="Vendita",ROUND(MAX(0,U989)*IFERROR(INDEX(Calcoli!$V$7:$V$21,MATCH(C989,Calcoli!$A$7:$A$21,0)),0.26),2),0))))</f>
        <v/>
      </c>
      <c r="L989" s="135" t="str">
        <f>IF(B989="","",IF(B989="Acquisto",-(J989+N(G989)),J989-N(G989)-K989))</f>
        <v/>
      </c>
      <c r="M989" s="127" t="str">
        <f>IF(B989="","",IF(ISNA(MATCH(C989,ETF!$A$7:$A$21,0)),"ETF?",IF(NOT(ISNUMBER(A989)),"Data?",IF(AND(B989&lt;&gt;"Dividendo",N(D989)&lt;=0),"Quote?",IF(AND(B989="Vendita",N(D989)&gt;N(Q989)+0.000001),"Quote?",IF(J989&lt;=0,"Importo?","✓"))))))</f>
        <v/>
      </c>
      <c r="N989" t="str">
        <f>IF(OR(B989="Acquisto",B989="Vendita"),COUNTIFS($C$5:C989,C989,$B$5:B989,"Acquisto")+COUNTIFS($C$5:C989,C989,$B$5:B989,"Vendita"),"")</f>
        <v/>
      </c>
      <c r="O989" t="str">
        <f>IF(N989="","",C989&amp;"|"&amp;N989)</f>
        <v/>
      </c>
      <c r="P989" t="str">
        <f>IF(N989="","",IF(N989=1,0,MATCH(C989&amp;"|"&amp;(N989-1),$O$5:$O$1004,0)))</f>
        <v/>
      </c>
      <c r="Q989" t="str">
        <f>IF(N989="","",IF(P989=0,SUMIFS(Calcoli!$C$7:$C$21,Calcoli!$A$7:$A$21,C989),INDEX($S$5:$S$1004,P989)))</f>
        <v/>
      </c>
      <c r="R989" t="str">
        <f>IF(N989="","",IF(P989=0,SUMIFS(Calcoli!$D$7:$D$21,Calcoli!$A$7:$A$21,C989),INDEX($T$5:$T$1004,P989)))</f>
        <v/>
      </c>
      <c r="S989" t="str">
        <f>IF(N989="","",IF(B989="Acquisto",Q989+N(D989),MAX(0,Q989-N(D989))))</f>
        <v/>
      </c>
      <c r="T989" t="str">
        <f>IF(N989="","",IF(B989="Acquisto",R989+J989+N(G989),IF(Q989&lt;=0,0,R989*(1-MIN(1,N(D989)/Q989)))))</f>
        <v/>
      </c>
      <c r="U989" t="str">
        <f>IF(B989&lt;&gt;"Vendita","",J989-N(G989)-IF(Q989&lt;=0,0,R989*MIN(1,N(D989)/Q989)))</f>
        <v/>
      </c>
      <c r="V989" t="str">
        <f>IF(B989&lt;&gt;"Dividendo","",IF(Calcoli!$B$251=1,J989,L989))</f>
        <v/>
      </c>
      <c r="W989" t="str">
        <f>IF(AND(V989&lt;&gt;"",ISNUMBER(A989)),A989,"")</f>
        <v/>
      </c>
    </row>
    <row r="990">
      <c r="A990" s="134" t="n"/>
      <c r="B990" s="116" t="n"/>
      <c r="C990" s="116" t="n"/>
      <c r="D990" s="121" t="n"/>
      <c r="E990" s="120" t="n"/>
      <c r="F990" s="120" t="n"/>
      <c r="G990" s="120" t="n"/>
      <c r="H990" s="120" t="n"/>
      <c r="I990" s="117" t="n"/>
      <c r="J990" s="123" t="str">
        <f>IF(B990="","",IF(F990&lt;&gt;"",N(F990),ROUND(N(D990)*N(E990),2)))</f>
        <v/>
      </c>
      <c r="K990" s="123" t="str">
        <f>IF(B990="","",IF(H990&lt;&gt;"",N(H990),IF(B990="Dividendo",ROUND(J990*IFERROR(INDEX(Calcoli!$V$7:$V$21,MATCH(C990,Calcoli!$A$7:$A$21,0)),0.26),2),IF(B990="Vendita",ROUND(MAX(0,U990)*IFERROR(INDEX(Calcoli!$V$7:$V$21,MATCH(C990,Calcoli!$A$7:$A$21,0)),0.26),2),0))))</f>
        <v/>
      </c>
      <c r="L990" s="135" t="str">
        <f>IF(B990="","",IF(B990="Acquisto",-(J990+N(G990)),J990-N(G990)-K990))</f>
        <v/>
      </c>
      <c r="M990" s="127" t="str">
        <f>IF(B990="","",IF(ISNA(MATCH(C990,ETF!$A$7:$A$21,0)),"ETF?",IF(NOT(ISNUMBER(A990)),"Data?",IF(AND(B990&lt;&gt;"Dividendo",N(D990)&lt;=0),"Quote?",IF(AND(B990="Vendita",N(D990)&gt;N(Q990)+0.000001),"Quote?",IF(J990&lt;=0,"Importo?","✓"))))))</f>
        <v/>
      </c>
      <c r="N990" t="str">
        <f>IF(OR(B990="Acquisto",B990="Vendita"),COUNTIFS($C$5:C990,C990,$B$5:B990,"Acquisto")+COUNTIFS($C$5:C990,C990,$B$5:B990,"Vendita"),"")</f>
        <v/>
      </c>
      <c r="O990" t="str">
        <f>IF(N990="","",C990&amp;"|"&amp;N990)</f>
        <v/>
      </c>
      <c r="P990" t="str">
        <f>IF(N990="","",IF(N990=1,0,MATCH(C990&amp;"|"&amp;(N990-1),$O$5:$O$1004,0)))</f>
        <v/>
      </c>
      <c r="Q990" t="str">
        <f>IF(N990="","",IF(P990=0,SUMIFS(Calcoli!$C$7:$C$21,Calcoli!$A$7:$A$21,C990),INDEX($S$5:$S$1004,P990)))</f>
        <v/>
      </c>
      <c r="R990" t="str">
        <f>IF(N990="","",IF(P990=0,SUMIFS(Calcoli!$D$7:$D$21,Calcoli!$A$7:$A$21,C990),INDEX($T$5:$T$1004,P990)))</f>
        <v/>
      </c>
      <c r="S990" t="str">
        <f>IF(N990="","",IF(B990="Acquisto",Q990+N(D990),MAX(0,Q990-N(D990))))</f>
        <v/>
      </c>
      <c r="T990" t="str">
        <f>IF(N990="","",IF(B990="Acquisto",R990+J990+N(G990),IF(Q990&lt;=0,0,R990*(1-MIN(1,N(D990)/Q990)))))</f>
        <v/>
      </c>
      <c r="U990" t="str">
        <f>IF(B990&lt;&gt;"Vendita","",J990-N(G990)-IF(Q990&lt;=0,0,R990*MIN(1,N(D990)/Q990)))</f>
        <v/>
      </c>
      <c r="V990" t="str">
        <f>IF(B990&lt;&gt;"Dividendo","",IF(Calcoli!$B$251=1,J990,L990))</f>
        <v/>
      </c>
      <c r="W990" t="str">
        <f>IF(AND(V990&lt;&gt;"",ISNUMBER(A990)),A990,"")</f>
        <v/>
      </c>
    </row>
    <row r="991">
      <c r="A991" s="134" t="n"/>
      <c r="B991" s="116" t="n"/>
      <c r="C991" s="116" t="n"/>
      <c r="D991" s="121" t="n"/>
      <c r="E991" s="120" t="n"/>
      <c r="F991" s="120" t="n"/>
      <c r="G991" s="120" t="n"/>
      <c r="H991" s="120" t="n"/>
      <c r="I991" s="117" t="n"/>
      <c r="J991" s="123" t="str">
        <f>IF(B991="","",IF(F991&lt;&gt;"",N(F991),ROUND(N(D991)*N(E991),2)))</f>
        <v/>
      </c>
      <c r="K991" s="123" t="str">
        <f>IF(B991="","",IF(H991&lt;&gt;"",N(H991),IF(B991="Dividendo",ROUND(J991*IFERROR(INDEX(Calcoli!$V$7:$V$21,MATCH(C991,Calcoli!$A$7:$A$21,0)),0.26),2),IF(B991="Vendita",ROUND(MAX(0,U991)*IFERROR(INDEX(Calcoli!$V$7:$V$21,MATCH(C991,Calcoli!$A$7:$A$21,0)),0.26),2),0))))</f>
        <v/>
      </c>
      <c r="L991" s="135" t="str">
        <f>IF(B991="","",IF(B991="Acquisto",-(J991+N(G991)),J991-N(G991)-K991))</f>
        <v/>
      </c>
      <c r="M991" s="127" t="str">
        <f>IF(B991="","",IF(ISNA(MATCH(C991,ETF!$A$7:$A$21,0)),"ETF?",IF(NOT(ISNUMBER(A991)),"Data?",IF(AND(B991&lt;&gt;"Dividendo",N(D991)&lt;=0),"Quote?",IF(AND(B991="Vendita",N(D991)&gt;N(Q991)+0.000001),"Quote?",IF(J991&lt;=0,"Importo?","✓"))))))</f>
        <v/>
      </c>
      <c r="N991" t="str">
        <f>IF(OR(B991="Acquisto",B991="Vendita"),COUNTIFS($C$5:C991,C991,$B$5:B991,"Acquisto")+COUNTIFS($C$5:C991,C991,$B$5:B991,"Vendita"),"")</f>
        <v/>
      </c>
      <c r="O991" t="str">
        <f>IF(N991="","",C991&amp;"|"&amp;N991)</f>
        <v/>
      </c>
      <c r="P991" t="str">
        <f>IF(N991="","",IF(N991=1,0,MATCH(C991&amp;"|"&amp;(N991-1),$O$5:$O$1004,0)))</f>
        <v/>
      </c>
      <c r="Q991" t="str">
        <f>IF(N991="","",IF(P991=0,SUMIFS(Calcoli!$C$7:$C$21,Calcoli!$A$7:$A$21,C991),INDEX($S$5:$S$1004,P991)))</f>
        <v/>
      </c>
      <c r="R991" t="str">
        <f>IF(N991="","",IF(P991=0,SUMIFS(Calcoli!$D$7:$D$21,Calcoli!$A$7:$A$21,C991),INDEX($T$5:$T$1004,P991)))</f>
        <v/>
      </c>
      <c r="S991" t="str">
        <f>IF(N991="","",IF(B991="Acquisto",Q991+N(D991),MAX(0,Q991-N(D991))))</f>
        <v/>
      </c>
      <c r="T991" t="str">
        <f>IF(N991="","",IF(B991="Acquisto",R991+J991+N(G991),IF(Q991&lt;=0,0,R991*(1-MIN(1,N(D991)/Q991)))))</f>
        <v/>
      </c>
      <c r="U991" t="str">
        <f>IF(B991&lt;&gt;"Vendita","",J991-N(G991)-IF(Q991&lt;=0,0,R991*MIN(1,N(D991)/Q991)))</f>
        <v/>
      </c>
      <c r="V991" t="str">
        <f>IF(B991&lt;&gt;"Dividendo","",IF(Calcoli!$B$251=1,J991,L991))</f>
        <v/>
      </c>
      <c r="W991" t="str">
        <f>IF(AND(V991&lt;&gt;"",ISNUMBER(A991)),A991,"")</f>
        <v/>
      </c>
    </row>
    <row r="992">
      <c r="A992" s="134" t="n"/>
      <c r="B992" s="116" t="n"/>
      <c r="C992" s="116" t="n"/>
      <c r="D992" s="121" t="n"/>
      <c r="E992" s="120" t="n"/>
      <c r="F992" s="120" t="n"/>
      <c r="G992" s="120" t="n"/>
      <c r="H992" s="120" t="n"/>
      <c r="I992" s="117" t="n"/>
      <c r="J992" s="123" t="str">
        <f>IF(B992="","",IF(F992&lt;&gt;"",N(F992),ROUND(N(D992)*N(E992),2)))</f>
        <v/>
      </c>
      <c r="K992" s="123" t="str">
        <f>IF(B992="","",IF(H992&lt;&gt;"",N(H992),IF(B992="Dividendo",ROUND(J992*IFERROR(INDEX(Calcoli!$V$7:$V$21,MATCH(C992,Calcoli!$A$7:$A$21,0)),0.26),2),IF(B992="Vendita",ROUND(MAX(0,U992)*IFERROR(INDEX(Calcoli!$V$7:$V$21,MATCH(C992,Calcoli!$A$7:$A$21,0)),0.26),2),0))))</f>
        <v/>
      </c>
      <c r="L992" s="135" t="str">
        <f>IF(B992="","",IF(B992="Acquisto",-(J992+N(G992)),J992-N(G992)-K992))</f>
        <v/>
      </c>
      <c r="M992" s="127" t="str">
        <f>IF(B992="","",IF(ISNA(MATCH(C992,ETF!$A$7:$A$21,0)),"ETF?",IF(NOT(ISNUMBER(A992)),"Data?",IF(AND(B992&lt;&gt;"Dividendo",N(D992)&lt;=0),"Quote?",IF(AND(B992="Vendita",N(D992)&gt;N(Q992)+0.000001),"Quote?",IF(J992&lt;=0,"Importo?","✓"))))))</f>
        <v/>
      </c>
      <c r="N992" t="str">
        <f>IF(OR(B992="Acquisto",B992="Vendita"),COUNTIFS($C$5:C992,C992,$B$5:B992,"Acquisto")+COUNTIFS($C$5:C992,C992,$B$5:B992,"Vendita"),"")</f>
        <v/>
      </c>
      <c r="O992" t="str">
        <f>IF(N992="","",C992&amp;"|"&amp;N992)</f>
        <v/>
      </c>
      <c r="P992" t="str">
        <f>IF(N992="","",IF(N992=1,0,MATCH(C992&amp;"|"&amp;(N992-1),$O$5:$O$1004,0)))</f>
        <v/>
      </c>
      <c r="Q992" t="str">
        <f>IF(N992="","",IF(P992=0,SUMIFS(Calcoli!$C$7:$C$21,Calcoli!$A$7:$A$21,C992),INDEX($S$5:$S$1004,P992)))</f>
        <v/>
      </c>
      <c r="R992" t="str">
        <f>IF(N992="","",IF(P992=0,SUMIFS(Calcoli!$D$7:$D$21,Calcoli!$A$7:$A$21,C992),INDEX($T$5:$T$1004,P992)))</f>
        <v/>
      </c>
      <c r="S992" t="str">
        <f>IF(N992="","",IF(B992="Acquisto",Q992+N(D992),MAX(0,Q992-N(D992))))</f>
        <v/>
      </c>
      <c r="T992" t="str">
        <f>IF(N992="","",IF(B992="Acquisto",R992+J992+N(G992),IF(Q992&lt;=0,0,R992*(1-MIN(1,N(D992)/Q992)))))</f>
        <v/>
      </c>
      <c r="U992" t="str">
        <f>IF(B992&lt;&gt;"Vendita","",J992-N(G992)-IF(Q992&lt;=0,0,R992*MIN(1,N(D992)/Q992)))</f>
        <v/>
      </c>
      <c r="V992" t="str">
        <f>IF(B992&lt;&gt;"Dividendo","",IF(Calcoli!$B$251=1,J992,L992))</f>
        <v/>
      </c>
      <c r="W992" t="str">
        <f>IF(AND(V992&lt;&gt;"",ISNUMBER(A992)),A992,"")</f>
        <v/>
      </c>
    </row>
    <row r="993">
      <c r="A993" s="134" t="n"/>
      <c r="B993" s="116" t="n"/>
      <c r="C993" s="116" t="n"/>
      <c r="D993" s="121" t="n"/>
      <c r="E993" s="120" t="n"/>
      <c r="F993" s="120" t="n"/>
      <c r="G993" s="120" t="n"/>
      <c r="H993" s="120" t="n"/>
      <c r="I993" s="117" t="n"/>
      <c r="J993" s="123" t="str">
        <f>IF(B993="","",IF(F993&lt;&gt;"",N(F993),ROUND(N(D993)*N(E993),2)))</f>
        <v/>
      </c>
      <c r="K993" s="123" t="str">
        <f>IF(B993="","",IF(H993&lt;&gt;"",N(H993),IF(B993="Dividendo",ROUND(J993*IFERROR(INDEX(Calcoli!$V$7:$V$21,MATCH(C993,Calcoli!$A$7:$A$21,0)),0.26),2),IF(B993="Vendita",ROUND(MAX(0,U993)*IFERROR(INDEX(Calcoli!$V$7:$V$21,MATCH(C993,Calcoli!$A$7:$A$21,0)),0.26),2),0))))</f>
        <v/>
      </c>
      <c r="L993" s="135" t="str">
        <f>IF(B993="","",IF(B993="Acquisto",-(J993+N(G993)),J993-N(G993)-K993))</f>
        <v/>
      </c>
      <c r="M993" s="127" t="str">
        <f>IF(B993="","",IF(ISNA(MATCH(C993,ETF!$A$7:$A$21,0)),"ETF?",IF(NOT(ISNUMBER(A993)),"Data?",IF(AND(B993&lt;&gt;"Dividendo",N(D993)&lt;=0),"Quote?",IF(AND(B993="Vendita",N(D993)&gt;N(Q993)+0.000001),"Quote?",IF(J993&lt;=0,"Importo?","✓"))))))</f>
        <v/>
      </c>
      <c r="N993" t="str">
        <f>IF(OR(B993="Acquisto",B993="Vendita"),COUNTIFS($C$5:C993,C993,$B$5:B993,"Acquisto")+COUNTIFS($C$5:C993,C993,$B$5:B993,"Vendita"),"")</f>
        <v/>
      </c>
      <c r="O993" t="str">
        <f>IF(N993="","",C993&amp;"|"&amp;N993)</f>
        <v/>
      </c>
      <c r="P993" t="str">
        <f>IF(N993="","",IF(N993=1,0,MATCH(C993&amp;"|"&amp;(N993-1),$O$5:$O$1004,0)))</f>
        <v/>
      </c>
      <c r="Q993" t="str">
        <f>IF(N993="","",IF(P993=0,SUMIFS(Calcoli!$C$7:$C$21,Calcoli!$A$7:$A$21,C993),INDEX($S$5:$S$1004,P993)))</f>
        <v/>
      </c>
      <c r="R993" t="str">
        <f>IF(N993="","",IF(P993=0,SUMIFS(Calcoli!$D$7:$D$21,Calcoli!$A$7:$A$21,C993),INDEX($T$5:$T$1004,P993)))</f>
        <v/>
      </c>
      <c r="S993" t="str">
        <f>IF(N993="","",IF(B993="Acquisto",Q993+N(D993),MAX(0,Q993-N(D993))))</f>
        <v/>
      </c>
      <c r="T993" t="str">
        <f>IF(N993="","",IF(B993="Acquisto",R993+J993+N(G993),IF(Q993&lt;=0,0,R993*(1-MIN(1,N(D993)/Q993)))))</f>
        <v/>
      </c>
      <c r="U993" t="str">
        <f>IF(B993&lt;&gt;"Vendita","",J993-N(G993)-IF(Q993&lt;=0,0,R993*MIN(1,N(D993)/Q993)))</f>
        <v/>
      </c>
      <c r="V993" t="str">
        <f>IF(B993&lt;&gt;"Dividendo","",IF(Calcoli!$B$251=1,J993,L993))</f>
        <v/>
      </c>
      <c r="W993" t="str">
        <f>IF(AND(V993&lt;&gt;"",ISNUMBER(A993)),A993,"")</f>
        <v/>
      </c>
    </row>
    <row r="994">
      <c r="A994" s="134" t="n"/>
      <c r="B994" s="116" t="n"/>
      <c r="C994" s="116" t="n"/>
      <c r="D994" s="121" t="n"/>
      <c r="E994" s="120" t="n"/>
      <c r="F994" s="120" t="n"/>
      <c r="G994" s="120" t="n"/>
      <c r="H994" s="120" t="n"/>
      <c r="I994" s="117" t="n"/>
      <c r="J994" s="123" t="str">
        <f>IF(B994="","",IF(F994&lt;&gt;"",N(F994),ROUND(N(D994)*N(E994),2)))</f>
        <v/>
      </c>
      <c r="K994" s="123" t="str">
        <f>IF(B994="","",IF(H994&lt;&gt;"",N(H994),IF(B994="Dividendo",ROUND(J994*IFERROR(INDEX(Calcoli!$V$7:$V$21,MATCH(C994,Calcoli!$A$7:$A$21,0)),0.26),2),IF(B994="Vendita",ROUND(MAX(0,U994)*IFERROR(INDEX(Calcoli!$V$7:$V$21,MATCH(C994,Calcoli!$A$7:$A$21,0)),0.26),2),0))))</f>
        <v/>
      </c>
      <c r="L994" s="135" t="str">
        <f>IF(B994="","",IF(B994="Acquisto",-(J994+N(G994)),J994-N(G994)-K994))</f>
        <v/>
      </c>
      <c r="M994" s="127" t="str">
        <f>IF(B994="","",IF(ISNA(MATCH(C994,ETF!$A$7:$A$21,0)),"ETF?",IF(NOT(ISNUMBER(A994)),"Data?",IF(AND(B994&lt;&gt;"Dividendo",N(D994)&lt;=0),"Quote?",IF(AND(B994="Vendita",N(D994)&gt;N(Q994)+0.000001),"Quote?",IF(J994&lt;=0,"Importo?","✓"))))))</f>
        <v/>
      </c>
      <c r="N994" t="str">
        <f>IF(OR(B994="Acquisto",B994="Vendita"),COUNTIFS($C$5:C994,C994,$B$5:B994,"Acquisto")+COUNTIFS($C$5:C994,C994,$B$5:B994,"Vendita"),"")</f>
        <v/>
      </c>
      <c r="O994" t="str">
        <f>IF(N994="","",C994&amp;"|"&amp;N994)</f>
        <v/>
      </c>
      <c r="P994" t="str">
        <f>IF(N994="","",IF(N994=1,0,MATCH(C994&amp;"|"&amp;(N994-1),$O$5:$O$1004,0)))</f>
        <v/>
      </c>
      <c r="Q994" t="str">
        <f>IF(N994="","",IF(P994=0,SUMIFS(Calcoli!$C$7:$C$21,Calcoli!$A$7:$A$21,C994),INDEX($S$5:$S$1004,P994)))</f>
        <v/>
      </c>
      <c r="R994" t="str">
        <f>IF(N994="","",IF(P994=0,SUMIFS(Calcoli!$D$7:$D$21,Calcoli!$A$7:$A$21,C994),INDEX($T$5:$T$1004,P994)))</f>
        <v/>
      </c>
      <c r="S994" t="str">
        <f>IF(N994="","",IF(B994="Acquisto",Q994+N(D994),MAX(0,Q994-N(D994))))</f>
        <v/>
      </c>
      <c r="T994" t="str">
        <f>IF(N994="","",IF(B994="Acquisto",R994+J994+N(G994),IF(Q994&lt;=0,0,R994*(1-MIN(1,N(D994)/Q994)))))</f>
        <v/>
      </c>
      <c r="U994" t="str">
        <f>IF(B994&lt;&gt;"Vendita","",J994-N(G994)-IF(Q994&lt;=0,0,R994*MIN(1,N(D994)/Q994)))</f>
        <v/>
      </c>
      <c r="V994" t="str">
        <f>IF(B994&lt;&gt;"Dividendo","",IF(Calcoli!$B$251=1,J994,L994))</f>
        <v/>
      </c>
      <c r="W994" t="str">
        <f>IF(AND(V994&lt;&gt;"",ISNUMBER(A994)),A994,"")</f>
        <v/>
      </c>
    </row>
    <row r="995">
      <c r="A995" s="134" t="n"/>
      <c r="B995" s="116" t="n"/>
      <c r="C995" s="116" t="n"/>
      <c r="D995" s="121" t="n"/>
      <c r="E995" s="120" t="n"/>
      <c r="F995" s="120" t="n"/>
      <c r="G995" s="120" t="n"/>
      <c r="H995" s="120" t="n"/>
      <c r="I995" s="117" t="n"/>
      <c r="J995" s="123" t="str">
        <f>IF(B995="","",IF(F995&lt;&gt;"",N(F995),ROUND(N(D995)*N(E995),2)))</f>
        <v/>
      </c>
      <c r="K995" s="123" t="str">
        <f>IF(B995="","",IF(H995&lt;&gt;"",N(H995),IF(B995="Dividendo",ROUND(J995*IFERROR(INDEX(Calcoli!$V$7:$V$21,MATCH(C995,Calcoli!$A$7:$A$21,0)),0.26),2),IF(B995="Vendita",ROUND(MAX(0,U995)*IFERROR(INDEX(Calcoli!$V$7:$V$21,MATCH(C995,Calcoli!$A$7:$A$21,0)),0.26),2),0))))</f>
        <v/>
      </c>
      <c r="L995" s="135" t="str">
        <f>IF(B995="","",IF(B995="Acquisto",-(J995+N(G995)),J995-N(G995)-K995))</f>
        <v/>
      </c>
      <c r="M995" s="127" t="str">
        <f>IF(B995="","",IF(ISNA(MATCH(C995,ETF!$A$7:$A$21,0)),"ETF?",IF(NOT(ISNUMBER(A995)),"Data?",IF(AND(B995&lt;&gt;"Dividendo",N(D995)&lt;=0),"Quote?",IF(AND(B995="Vendita",N(D995)&gt;N(Q995)+0.000001),"Quote?",IF(J995&lt;=0,"Importo?","✓"))))))</f>
        <v/>
      </c>
      <c r="N995" t="str">
        <f>IF(OR(B995="Acquisto",B995="Vendita"),COUNTIFS($C$5:C995,C995,$B$5:B995,"Acquisto")+COUNTIFS($C$5:C995,C995,$B$5:B995,"Vendita"),"")</f>
        <v/>
      </c>
      <c r="O995" t="str">
        <f>IF(N995="","",C995&amp;"|"&amp;N995)</f>
        <v/>
      </c>
      <c r="P995" t="str">
        <f>IF(N995="","",IF(N995=1,0,MATCH(C995&amp;"|"&amp;(N995-1),$O$5:$O$1004,0)))</f>
        <v/>
      </c>
      <c r="Q995" t="str">
        <f>IF(N995="","",IF(P995=0,SUMIFS(Calcoli!$C$7:$C$21,Calcoli!$A$7:$A$21,C995),INDEX($S$5:$S$1004,P995)))</f>
        <v/>
      </c>
      <c r="R995" t="str">
        <f>IF(N995="","",IF(P995=0,SUMIFS(Calcoli!$D$7:$D$21,Calcoli!$A$7:$A$21,C995),INDEX($T$5:$T$1004,P995)))</f>
        <v/>
      </c>
      <c r="S995" t="str">
        <f>IF(N995="","",IF(B995="Acquisto",Q995+N(D995),MAX(0,Q995-N(D995))))</f>
        <v/>
      </c>
      <c r="T995" t="str">
        <f>IF(N995="","",IF(B995="Acquisto",R995+J995+N(G995),IF(Q995&lt;=0,0,R995*(1-MIN(1,N(D995)/Q995)))))</f>
        <v/>
      </c>
      <c r="U995" t="str">
        <f>IF(B995&lt;&gt;"Vendita","",J995-N(G995)-IF(Q995&lt;=0,0,R995*MIN(1,N(D995)/Q995)))</f>
        <v/>
      </c>
      <c r="V995" t="str">
        <f>IF(B995&lt;&gt;"Dividendo","",IF(Calcoli!$B$251=1,J995,L995))</f>
        <v/>
      </c>
      <c r="W995" t="str">
        <f>IF(AND(V995&lt;&gt;"",ISNUMBER(A995)),A995,"")</f>
        <v/>
      </c>
    </row>
    <row r="996">
      <c r="A996" s="134" t="n"/>
      <c r="B996" s="116" t="n"/>
      <c r="C996" s="116" t="n"/>
      <c r="D996" s="121" t="n"/>
      <c r="E996" s="120" t="n"/>
      <c r="F996" s="120" t="n"/>
      <c r="G996" s="120" t="n"/>
      <c r="H996" s="120" t="n"/>
      <c r="I996" s="117" t="n"/>
      <c r="J996" s="123" t="str">
        <f>IF(B996="","",IF(F996&lt;&gt;"",N(F996),ROUND(N(D996)*N(E996),2)))</f>
        <v/>
      </c>
      <c r="K996" s="123" t="str">
        <f>IF(B996="","",IF(H996&lt;&gt;"",N(H996),IF(B996="Dividendo",ROUND(J996*IFERROR(INDEX(Calcoli!$V$7:$V$21,MATCH(C996,Calcoli!$A$7:$A$21,0)),0.26),2),IF(B996="Vendita",ROUND(MAX(0,U996)*IFERROR(INDEX(Calcoli!$V$7:$V$21,MATCH(C996,Calcoli!$A$7:$A$21,0)),0.26),2),0))))</f>
        <v/>
      </c>
      <c r="L996" s="135" t="str">
        <f>IF(B996="","",IF(B996="Acquisto",-(J996+N(G996)),J996-N(G996)-K996))</f>
        <v/>
      </c>
      <c r="M996" s="127" t="str">
        <f>IF(B996="","",IF(ISNA(MATCH(C996,ETF!$A$7:$A$21,0)),"ETF?",IF(NOT(ISNUMBER(A996)),"Data?",IF(AND(B996&lt;&gt;"Dividendo",N(D996)&lt;=0),"Quote?",IF(AND(B996="Vendita",N(D996)&gt;N(Q996)+0.000001),"Quote?",IF(J996&lt;=0,"Importo?","✓"))))))</f>
        <v/>
      </c>
      <c r="N996" t="str">
        <f>IF(OR(B996="Acquisto",B996="Vendita"),COUNTIFS($C$5:C996,C996,$B$5:B996,"Acquisto")+COUNTIFS($C$5:C996,C996,$B$5:B996,"Vendita"),"")</f>
        <v/>
      </c>
      <c r="O996" t="str">
        <f>IF(N996="","",C996&amp;"|"&amp;N996)</f>
        <v/>
      </c>
      <c r="P996" t="str">
        <f>IF(N996="","",IF(N996=1,0,MATCH(C996&amp;"|"&amp;(N996-1),$O$5:$O$1004,0)))</f>
        <v/>
      </c>
      <c r="Q996" t="str">
        <f>IF(N996="","",IF(P996=0,SUMIFS(Calcoli!$C$7:$C$21,Calcoli!$A$7:$A$21,C996),INDEX($S$5:$S$1004,P996)))</f>
        <v/>
      </c>
      <c r="R996" t="str">
        <f>IF(N996="","",IF(P996=0,SUMIFS(Calcoli!$D$7:$D$21,Calcoli!$A$7:$A$21,C996),INDEX($T$5:$T$1004,P996)))</f>
        <v/>
      </c>
      <c r="S996" t="str">
        <f>IF(N996="","",IF(B996="Acquisto",Q996+N(D996),MAX(0,Q996-N(D996))))</f>
        <v/>
      </c>
      <c r="T996" t="str">
        <f>IF(N996="","",IF(B996="Acquisto",R996+J996+N(G996),IF(Q996&lt;=0,0,R996*(1-MIN(1,N(D996)/Q996)))))</f>
        <v/>
      </c>
      <c r="U996" t="str">
        <f>IF(B996&lt;&gt;"Vendita","",J996-N(G996)-IF(Q996&lt;=0,0,R996*MIN(1,N(D996)/Q996)))</f>
        <v/>
      </c>
      <c r="V996" t="str">
        <f>IF(B996&lt;&gt;"Dividendo","",IF(Calcoli!$B$251=1,J996,L996))</f>
        <v/>
      </c>
      <c r="W996" t="str">
        <f>IF(AND(V996&lt;&gt;"",ISNUMBER(A996)),A996,"")</f>
        <v/>
      </c>
    </row>
    <row r="997">
      <c r="A997" s="134" t="n"/>
      <c r="B997" s="116" t="n"/>
      <c r="C997" s="116" t="n"/>
      <c r="D997" s="121" t="n"/>
      <c r="E997" s="120" t="n"/>
      <c r="F997" s="120" t="n"/>
      <c r="G997" s="120" t="n"/>
      <c r="H997" s="120" t="n"/>
      <c r="I997" s="117" t="n"/>
      <c r="J997" s="123" t="str">
        <f>IF(B997="","",IF(F997&lt;&gt;"",N(F997),ROUND(N(D997)*N(E997),2)))</f>
        <v/>
      </c>
      <c r="K997" s="123" t="str">
        <f>IF(B997="","",IF(H997&lt;&gt;"",N(H997),IF(B997="Dividendo",ROUND(J997*IFERROR(INDEX(Calcoli!$V$7:$V$21,MATCH(C997,Calcoli!$A$7:$A$21,0)),0.26),2),IF(B997="Vendita",ROUND(MAX(0,U997)*IFERROR(INDEX(Calcoli!$V$7:$V$21,MATCH(C997,Calcoli!$A$7:$A$21,0)),0.26),2),0))))</f>
        <v/>
      </c>
      <c r="L997" s="135" t="str">
        <f>IF(B997="","",IF(B997="Acquisto",-(J997+N(G997)),J997-N(G997)-K997))</f>
        <v/>
      </c>
      <c r="M997" s="127" t="str">
        <f>IF(B997="","",IF(ISNA(MATCH(C997,ETF!$A$7:$A$21,0)),"ETF?",IF(NOT(ISNUMBER(A997)),"Data?",IF(AND(B997&lt;&gt;"Dividendo",N(D997)&lt;=0),"Quote?",IF(AND(B997="Vendita",N(D997)&gt;N(Q997)+0.000001),"Quote?",IF(J997&lt;=0,"Importo?","✓"))))))</f>
        <v/>
      </c>
      <c r="N997" t="str">
        <f>IF(OR(B997="Acquisto",B997="Vendita"),COUNTIFS($C$5:C997,C997,$B$5:B997,"Acquisto")+COUNTIFS($C$5:C997,C997,$B$5:B997,"Vendita"),"")</f>
        <v/>
      </c>
      <c r="O997" t="str">
        <f>IF(N997="","",C997&amp;"|"&amp;N997)</f>
        <v/>
      </c>
      <c r="P997" t="str">
        <f>IF(N997="","",IF(N997=1,0,MATCH(C997&amp;"|"&amp;(N997-1),$O$5:$O$1004,0)))</f>
        <v/>
      </c>
      <c r="Q997" t="str">
        <f>IF(N997="","",IF(P997=0,SUMIFS(Calcoli!$C$7:$C$21,Calcoli!$A$7:$A$21,C997),INDEX($S$5:$S$1004,P997)))</f>
        <v/>
      </c>
      <c r="R997" t="str">
        <f>IF(N997="","",IF(P997=0,SUMIFS(Calcoli!$D$7:$D$21,Calcoli!$A$7:$A$21,C997),INDEX($T$5:$T$1004,P997)))</f>
        <v/>
      </c>
      <c r="S997" t="str">
        <f>IF(N997="","",IF(B997="Acquisto",Q997+N(D997),MAX(0,Q997-N(D997))))</f>
        <v/>
      </c>
      <c r="T997" t="str">
        <f>IF(N997="","",IF(B997="Acquisto",R997+J997+N(G997),IF(Q997&lt;=0,0,R997*(1-MIN(1,N(D997)/Q997)))))</f>
        <v/>
      </c>
      <c r="U997" t="str">
        <f>IF(B997&lt;&gt;"Vendita","",J997-N(G997)-IF(Q997&lt;=0,0,R997*MIN(1,N(D997)/Q997)))</f>
        <v/>
      </c>
      <c r="V997" t="str">
        <f>IF(B997&lt;&gt;"Dividendo","",IF(Calcoli!$B$251=1,J997,L997))</f>
        <v/>
      </c>
      <c r="W997" t="str">
        <f>IF(AND(V997&lt;&gt;"",ISNUMBER(A997)),A997,"")</f>
        <v/>
      </c>
    </row>
    <row r="998">
      <c r="A998" s="134" t="n"/>
      <c r="B998" s="116" t="n"/>
      <c r="C998" s="116" t="n"/>
      <c r="D998" s="121" t="n"/>
      <c r="E998" s="120" t="n"/>
      <c r="F998" s="120" t="n"/>
      <c r="G998" s="120" t="n"/>
      <c r="H998" s="120" t="n"/>
      <c r="I998" s="117" t="n"/>
      <c r="J998" s="123" t="str">
        <f>IF(B998="","",IF(F998&lt;&gt;"",N(F998),ROUND(N(D998)*N(E998),2)))</f>
        <v/>
      </c>
      <c r="K998" s="123" t="str">
        <f>IF(B998="","",IF(H998&lt;&gt;"",N(H998),IF(B998="Dividendo",ROUND(J998*IFERROR(INDEX(Calcoli!$V$7:$V$21,MATCH(C998,Calcoli!$A$7:$A$21,0)),0.26),2),IF(B998="Vendita",ROUND(MAX(0,U998)*IFERROR(INDEX(Calcoli!$V$7:$V$21,MATCH(C998,Calcoli!$A$7:$A$21,0)),0.26),2),0))))</f>
        <v/>
      </c>
      <c r="L998" s="135" t="str">
        <f>IF(B998="","",IF(B998="Acquisto",-(J998+N(G998)),J998-N(G998)-K998))</f>
        <v/>
      </c>
      <c r="M998" s="127" t="str">
        <f>IF(B998="","",IF(ISNA(MATCH(C998,ETF!$A$7:$A$21,0)),"ETF?",IF(NOT(ISNUMBER(A998)),"Data?",IF(AND(B998&lt;&gt;"Dividendo",N(D998)&lt;=0),"Quote?",IF(AND(B998="Vendita",N(D998)&gt;N(Q998)+0.000001),"Quote?",IF(J998&lt;=0,"Importo?","✓"))))))</f>
        <v/>
      </c>
      <c r="N998" t="str">
        <f>IF(OR(B998="Acquisto",B998="Vendita"),COUNTIFS($C$5:C998,C998,$B$5:B998,"Acquisto")+COUNTIFS($C$5:C998,C998,$B$5:B998,"Vendita"),"")</f>
        <v/>
      </c>
      <c r="O998" t="str">
        <f>IF(N998="","",C998&amp;"|"&amp;N998)</f>
        <v/>
      </c>
      <c r="P998" t="str">
        <f>IF(N998="","",IF(N998=1,0,MATCH(C998&amp;"|"&amp;(N998-1),$O$5:$O$1004,0)))</f>
        <v/>
      </c>
      <c r="Q998" t="str">
        <f>IF(N998="","",IF(P998=0,SUMIFS(Calcoli!$C$7:$C$21,Calcoli!$A$7:$A$21,C998),INDEX($S$5:$S$1004,P998)))</f>
        <v/>
      </c>
      <c r="R998" t="str">
        <f>IF(N998="","",IF(P998=0,SUMIFS(Calcoli!$D$7:$D$21,Calcoli!$A$7:$A$21,C998),INDEX($T$5:$T$1004,P998)))</f>
        <v/>
      </c>
      <c r="S998" t="str">
        <f>IF(N998="","",IF(B998="Acquisto",Q998+N(D998),MAX(0,Q998-N(D998))))</f>
        <v/>
      </c>
      <c r="T998" t="str">
        <f>IF(N998="","",IF(B998="Acquisto",R998+J998+N(G998),IF(Q998&lt;=0,0,R998*(1-MIN(1,N(D998)/Q998)))))</f>
        <v/>
      </c>
      <c r="U998" t="str">
        <f>IF(B998&lt;&gt;"Vendita","",J998-N(G998)-IF(Q998&lt;=0,0,R998*MIN(1,N(D998)/Q998)))</f>
        <v/>
      </c>
      <c r="V998" t="str">
        <f>IF(B998&lt;&gt;"Dividendo","",IF(Calcoli!$B$251=1,J998,L998))</f>
        <v/>
      </c>
      <c r="W998" t="str">
        <f>IF(AND(V998&lt;&gt;"",ISNUMBER(A998)),A998,"")</f>
        <v/>
      </c>
    </row>
    <row r="999">
      <c r="A999" s="134" t="n"/>
      <c r="B999" s="116" t="n"/>
      <c r="C999" s="116" t="n"/>
      <c r="D999" s="121" t="n"/>
      <c r="E999" s="120" t="n"/>
      <c r="F999" s="120" t="n"/>
      <c r="G999" s="120" t="n"/>
      <c r="H999" s="120" t="n"/>
      <c r="I999" s="117" t="n"/>
      <c r="J999" s="123" t="str">
        <f>IF(B999="","",IF(F999&lt;&gt;"",N(F999),ROUND(N(D999)*N(E999),2)))</f>
        <v/>
      </c>
      <c r="K999" s="123" t="str">
        <f>IF(B999="","",IF(H999&lt;&gt;"",N(H999),IF(B999="Dividendo",ROUND(J999*IFERROR(INDEX(Calcoli!$V$7:$V$21,MATCH(C999,Calcoli!$A$7:$A$21,0)),0.26),2),IF(B999="Vendita",ROUND(MAX(0,U999)*IFERROR(INDEX(Calcoli!$V$7:$V$21,MATCH(C999,Calcoli!$A$7:$A$21,0)),0.26),2),0))))</f>
        <v/>
      </c>
      <c r="L999" s="135" t="str">
        <f>IF(B999="","",IF(B999="Acquisto",-(J999+N(G999)),J999-N(G999)-K999))</f>
        <v/>
      </c>
      <c r="M999" s="127" t="str">
        <f>IF(B999="","",IF(ISNA(MATCH(C999,ETF!$A$7:$A$21,0)),"ETF?",IF(NOT(ISNUMBER(A999)),"Data?",IF(AND(B999&lt;&gt;"Dividendo",N(D999)&lt;=0),"Quote?",IF(AND(B999="Vendita",N(D999)&gt;N(Q999)+0.000001),"Quote?",IF(J999&lt;=0,"Importo?","✓"))))))</f>
        <v/>
      </c>
      <c r="N999" t="str">
        <f>IF(OR(B999="Acquisto",B999="Vendita"),COUNTIFS($C$5:C999,C999,$B$5:B999,"Acquisto")+COUNTIFS($C$5:C999,C999,$B$5:B999,"Vendita"),"")</f>
        <v/>
      </c>
      <c r="O999" t="str">
        <f>IF(N999="","",C999&amp;"|"&amp;N999)</f>
        <v/>
      </c>
      <c r="P999" t="str">
        <f>IF(N999="","",IF(N999=1,0,MATCH(C999&amp;"|"&amp;(N999-1),$O$5:$O$1004,0)))</f>
        <v/>
      </c>
      <c r="Q999" t="str">
        <f>IF(N999="","",IF(P999=0,SUMIFS(Calcoli!$C$7:$C$21,Calcoli!$A$7:$A$21,C999),INDEX($S$5:$S$1004,P999)))</f>
        <v/>
      </c>
      <c r="R999" t="str">
        <f>IF(N999="","",IF(P999=0,SUMIFS(Calcoli!$D$7:$D$21,Calcoli!$A$7:$A$21,C999),INDEX($T$5:$T$1004,P999)))</f>
        <v/>
      </c>
      <c r="S999" t="str">
        <f>IF(N999="","",IF(B999="Acquisto",Q999+N(D999),MAX(0,Q999-N(D999))))</f>
        <v/>
      </c>
      <c r="T999" t="str">
        <f>IF(N999="","",IF(B999="Acquisto",R999+J999+N(G999),IF(Q999&lt;=0,0,R999*(1-MIN(1,N(D999)/Q999)))))</f>
        <v/>
      </c>
      <c r="U999" t="str">
        <f>IF(B999&lt;&gt;"Vendita","",J999-N(G999)-IF(Q999&lt;=0,0,R999*MIN(1,N(D999)/Q999)))</f>
        <v/>
      </c>
      <c r="V999" t="str">
        <f>IF(B999&lt;&gt;"Dividendo","",IF(Calcoli!$B$251=1,J999,L999))</f>
        <v/>
      </c>
      <c r="W999" t="str">
        <f>IF(AND(V999&lt;&gt;"",ISNUMBER(A999)),A999,"")</f>
        <v/>
      </c>
    </row>
    <row r="1000">
      <c r="A1000" s="134" t="n"/>
      <c r="B1000" s="116" t="n"/>
      <c r="C1000" s="116" t="n"/>
      <c r="D1000" s="121" t="n"/>
      <c r="E1000" s="120" t="n"/>
      <c r="F1000" s="120" t="n"/>
      <c r="G1000" s="120" t="n"/>
      <c r="H1000" s="120" t="n"/>
      <c r="I1000" s="117" t="n"/>
      <c r="J1000" s="123" t="str">
        <f>IF(B1000="","",IF(F1000&lt;&gt;"",N(F1000),ROUND(N(D1000)*N(E1000),2)))</f>
        <v/>
      </c>
      <c r="K1000" s="123" t="str">
        <f>IF(B1000="","",IF(H1000&lt;&gt;"",N(H1000),IF(B1000="Dividendo",ROUND(J1000*IFERROR(INDEX(Calcoli!$V$7:$V$21,MATCH(C1000,Calcoli!$A$7:$A$21,0)),0.26),2),IF(B1000="Vendita",ROUND(MAX(0,U1000)*IFERROR(INDEX(Calcoli!$V$7:$V$21,MATCH(C1000,Calcoli!$A$7:$A$21,0)),0.26),2),0))))</f>
        <v/>
      </c>
      <c r="L1000" s="135" t="str">
        <f>IF(B1000="","",IF(B1000="Acquisto",-(J1000+N(G1000)),J1000-N(G1000)-K1000))</f>
        <v/>
      </c>
      <c r="M1000" s="127" t="str">
        <f>IF(B1000="","",IF(ISNA(MATCH(C1000,ETF!$A$7:$A$21,0)),"ETF?",IF(NOT(ISNUMBER(A1000)),"Data?",IF(AND(B1000&lt;&gt;"Dividendo",N(D1000)&lt;=0),"Quote?",IF(AND(B1000="Vendita",N(D1000)&gt;N(Q1000)+0.000001),"Quote?",IF(J1000&lt;=0,"Importo?","✓"))))))</f>
        <v/>
      </c>
      <c r="N1000" t="str">
        <f>IF(OR(B1000="Acquisto",B1000="Vendita"),COUNTIFS($C$5:C1000,C1000,$B$5:B1000,"Acquisto")+COUNTIFS($C$5:C1000,C1000,$B$5:B1000,"Vendita"),"")</f>
        <v/>
      </c>
      <c r="O1000" t="str">
        <f>IF(N1000="","",C1000&amp;"|"&amp;N1000)</f>
        <v/>
      </c>
      <c r="P1000" t="str">
        <f>IF(N1000="","",IF(N1000=1,0,MATCH(C1000&amp;"|"&amp;(N1000-1),$O$5:$O$1004,0)))</f>
        <v/>
      </c>
      <c r="Q1000" t="str">
        <f>IF(N1000="","",IF(P1000=0,SUMIFS(Calcoli!$C$7:$C$21,Calcoli!$A$7:$A$21,C1000),INDEX($S$5:$S$1004,P1000)))</f>
        <v/>
      </c>
      <c r="R1000" t="str">
        <f>IF(N1000="","",IF(P1000=0,SUMIFS(Calcoli!$D$7:$D$21,Calcoli!$A$7:$A$21,C1000),INDEX($T$5:$T$1004,P1000)))</f>
        <v/>
      </c>
      <c r="S1000" t="str">
        <f>IF(N1000="","",IF(B1000="Acquisto",Q1000+N(D1000),MAX(0,Q1000-N(D1000))))</f>
        <v/>
      </c>
      <c r="T1000" t="str">
        <f>IF(N1000="","",IF(B1000="Acquisto",R1000+J1000+N(G1000),IF(Q1000&lt;=0,0,R1000*(1-MIN(1,N(D1000)/Q1000)))))</f>
        <v/>
      </c>
      <c r="U1000" t="str">
        <f>IF(B1000&lt;&gt;"Vendita","",J1000-N(G1000)-IF(Q1000&lt;=0,0,R1000*MIN(1,N(D1000)/Q1000)))</f>
        <v/>
      </c>
      <c r="V1000" t="str">
        <f>IF(B1000&lt;&gt;"Dividendo","",IF(Calcoli!$B$251=1,J1000,L1000))</f>
        <v/>
      </c>
      <c r="W1000" t="str">
        <f>IF(AND(V1000&lt;&gt;"",ISNUMBER(A1000)),A1000,"")</f>
        <v/>
      </c>
    </row>
    <row r="1001">
      <c r="A1001" s="134" t="n"/>
      <c r="B1001" s="116" t="n"/>
      <c r="C1001" s="116" t="n"/>
      <c r="D1001" s="121" t="n"/>
      <c r="E1001" s="120" t="n"/>
      <c r="F1001" s="120" t="n"/>
      <c r="G1001" s="120" t="n"/>
      <c r="H1001" s="120" t="n"/>
      <c r="I1001" s="117" t="n"/>
      <c r="J1001" s="123" t="str">
        <f>IF(B1001="","",IF(F1001&lt;&gt;"",N(F1001),ROUND(N(D1001)*N(E1001),2)))</f>
        <v/>
      </c>
      <c r="K1001" s="123" t="str">
        <f>IF(B1001="","",IF(H1001&lt;&gt;"",N(H1001),IF(B1001="Dividendo",ROUND(J1001*IFERROR(INDEX(Calcoli!$V$7:$V$21,MATCH(C1001,Calcoli!$A$7:$A$21,0)),0.26),2),IF(B1001="Vendita",ROUND(MAX(0,U1001)*IFERROR(INDEX(Calcoli!$V$7:$V$21,MATCH(C1001,Calcoli!$A$7:$A$21,0)),0.26),2),0))))</f>
        <v/>
      </c>
      <c r="L1001" s="135" t="str">
        <f>IF(B1001="","",IF(B1001="Acquisto",-(J1001+N(G1001)),J1001-N(G1001)-K1001))</f>
        <v/>
      </c>
      <c r="M1001" s="127" t="str">
        <f>IF(B1001="","",IF(ISNA(MATCH(C1001,ETF!$A$7:$A$21,0)),"ETF?",IF(NOT(ISNUMBER(A1001)),"Data?",IF(AND(B1001&lt;&gt;"Dividendo",N(D1001)&lt;=0),"Quote?",IF(AND(B1001="Vendita",N(D1001)&gt;N(Q1001)+0.000001),"Quote?",IF(J1001&lt;=0,"Importo?","✓"))))))</f>
        <v/>
      </c>
      <c r="N1001" t="str">
        <f>IF(OR(B1001="Acquisto",B1001="Vendita"),COUNTIFS($C$5:C1001,C1001,$B$5:B1001,"Acquisto")+COUNTIFS($C$5:C1001,C1001,$B$5:B1001,"Vendita"),"")</f>
        <v/>
      </c>
      <c r="O1001" t="str">
        <f>IF(N1001="","",C1001&amp;"|"&amp;N1001)</f>
        <v/>
      </c>
      <c r="P1001" t="str">
        <f>IF(N1001="","",IF(N1001=1,0,MATCH(C1001&amp;"|"&amp;(N1001-1),$O$5:$O$1004,0)))</f>
        <v/>
      </c>
      <c r="Q1001" t="str">
        <f>IF(N1001="","",IF(P1001=0,SUMIFS(Calcoli!$C$7:$C$21,Calcoli!$A$7:$A$21,C1001),INDEX($S$5:$S$1004,P1001)))</f>
        <v/>
      </c>
      <c r="R1001" t="str">
        <f>IF(N1001="","",IF(P1001=0,SUMIFS(Calcoli!$D$7:$D$21,Calcoli!$A$7:$A$21,C1001),INDEX($T$5:$T$1004,P1001)))</f>
        <v/>
      </c>
      <c r="S1001" t="str">
        <f>IF(N1001="","",IF(B1001="Acquisto",Q1001+N(D1001),MAX(0,Q1001-N(D1001))))</f>
        <v/>
      </c>
      <c r="T1001" t="str">
        <f>IF(N1001="","",IF(B1001="Acquisto",R1001+J1001+N(G1001),IF(Q1001&lt;=0,0,R1001*(1-MIN(1,N(D1001)/Q1001)))))</f>
        <v/>
      </c>
      <c r="U1001" t="str">
        <f>IF(B1001&lt;&gt;"Vendita","",J1001-N(G1001)-IF(Q1001&lt;=0,0,R1001*MIN(1,N(D1001)/Q1001)))</f>
        <v/>
      </c>
      <c r="V1001" t="str">
        <f>IF(B1001&lt;&gt;"Dividendo","",IF(Calcoli!$B$251=1,J1001,L1001))</f>
        <v/>
      </c>
      <c r="W1001" t="str">
        <f>IF(AND(V1001&lt;&gt;"",ISNUMBER(A1001)),A1001,"")</f>
        <v/>
      </c>
    </row>
    <row r="1002">
      <c r="A1002" s="134" t="n"/>
      <c r="B1002" s="116" t="n"/>
      <c r="C1002" s="116" t="n"/>
      <c r="D1002" s="121" t="n"/>
      <c r="E1002" s="120" t="n"/>
      <c r="F1002" s="120" t="n"/>
      <c r="G1002" s="120" t="n"/>
      <c r="H1002" s="120" t="n"/>
      <c r="I1002" s="117" t="n"/>
      <c r="J1002" s="123" t="str">
        <f>IF(B1002="","",IF(F1002&lt;&gt;"",N(F1002),ROUND(N(D1002)*N(E1002),2)))</f>
        <v/>
      </c>
      <c r="K1002" s="123" t="str">
        <f>IF(B1002="","",IF(H1002&lt;&gt;"",N(H1002),IF(B1002="Dividendo",ROUND(J1002*IFERROR(INDEX(Calcoli!$V$7:$V$21,MATCH(C1002,Calcoli!$A$7:$A$21,0)),0.26),2),IF(B1002="Vendita",ROUND(MAX(0,U1002)*IFERROR(INDEX(Calcoli!$V$7:$V$21,MATCH(C1002,Calcoli!$A$7:$A$21,0)),0.26),2),0))))</f>
        <v/>
      </c>
      <c r="L1002" s="135" t="str">
        <f>IF(B1002="","",IF(B1002="Acquisto",-(J1002+N(G1002)),J1002-N(G1002)-K1002))</f>
        <v/>
      </c>
      <c r="M1002" s="127" t="str">
        <f>IF(B1002="","",IF(ISNA(MATCH(C1002,ETF!$A$7:$A$21,0)),"ETF?",IF(NOT(ISNUMBER(A1002)),"Data?",IF(AND(B1002&lt;&gt;"Dividendo",N(D1002)&lt;=0),"Quote?",IF(AND(B1002="Vendita",N(D1002)&gt;N(Q1002)+0.000001),"Quote?",IF(J1002&lt;=0,"Importo?","✓"))))))</f>
        <v/>
      </c>
      <c r="N1002" t="str">
        <f>IF(OR(B1002="Acquisto",B1002="Vendita"),COUNTIFS($C$5:C1002,C1002,$B$5:B1002,"Acquisto")+COUNTIFS($C$5:C1002,C1002,$B$5:B1002,"Vendita"),"")</f>
        <v/>
      </c>
      <c r="O1002" t="str">
        <f>IF(N1002="","",C1002&amp;"|"&amp;N1002)</f>
        <v/>
      </c>
      <c r="P1002" t="str">
        <f>IF(N1002="","",IF(N1002=1,0,MATCH(C1002&amp;"|"&amp;(N1002-1),$O$5:$O$1004,0)))</f>
        <v/>
      </c>
      <c r="Q1002" t="str">
        <f>IF(N1002="","",IF(P1002=0,SUMIFS(Calcoli!$C$7:$C$21,Calcoli!$A$7:$A$21,C1002),INDEX($S$5:$S$1004,P1002)))</f>
        <v/>
      </c>
      <c r="R1002" t="str">
        <f>IF(N1002="","",IF(P1002=0,SUMIFS(Calcoli!$D$7:$D$21,Calcoli!$A$7:$A$21,C1002),INDEX($T$5:$T$1004,P1002)))</f>
        <v/>
      </c>
      <c r="S1002" t="str">
        <f>IF(N1002="","",IF(B1002="Acquisto",Q1002+N(D1002),MAX(0,Q1002-N(D1002))))</f>
        <v/>
      </c>
      <c r="T1002" t="str">
        <f>IF(N1002="","",IF(B1002="Acquisto",R1002+J1002+N(G1002),IF(Q1002&lt;=0,0,R1002*(1-MIN(1,N(D1002)/Q1002)))))</f>
        <v/>
      </c>
      <c r="U1002" t="str">
        <f>IF(B1002&lt;&gt;"Vendita","",J1002-N(G1002)-IF(Q1002&lt;=0,0,R1002*MIN(1,N(D1002)/Q1002)))</f>
        <v/>
      </c>
      <c r="V1002" t="str">
        <f>IF(B1002&lt;&gt;"Dividendo","",IF(Calcoli!$B$251=1,J1002,L1002))</f>
        <v/>
      </c>
      <c r="W1002" t="str">
        <f>IF(AND(V1002&lt;&gt;"",ISNUMBER(A1002)),A1002,"")</f>
        <v/>
      </c>
    </row>
    <row r="1003">
      <c r="A1003" s="134" t="n"/>
      <c r="B1003" s="116" t="n"/>
      <c r="C1003" s="116" t="n"/>
      <c r="D1003" s="121" t="n"/>
      <c r="E1003" s="120" t="n"/>
      <c r="F1003" s="120" t="n"/>
      <c r="G1003" s="120" t="n"/>
      <c r="H1003" s="120" t="n"/>
      <c r="I1003" s="117" t="n"/>
      <c r="J1003" s="123" t="str">
        <f>IF(B1003="","",IF(F1003&lt;&gt;"",N(F1003),ROUND(N(D1003)*N(E1003),2)))</f>
        <v/>
      </c>
      <c r="K1003" s="123" t="str">
        <f>IF(B1003="","",IF(H1003&lt;&gt;"",N(H1003),IF(B1003="Dividendo",ROUND(J1003*IFERROR(INDEX(Calcoli!$V$7:$V$21,MATCH(C1003,Calcoli!$A$7:$A$21,0)),0.26),2),IF(B1003="Vendita",ROUND(MAX(0,U1003)*IFERROR(INDEX(Calcoli!$V$7:$V$21,MATCH(C1003,Calcoli!$A$7:$A$21,0)),0.26),2),0))))</f>
        <v/>
      </c>
      <c r="L1003" s="135" t="str">
        <f>IF(B1003="","",IF(B1003="Acquisto",-(J1003+N(G1003)),J1003-N(G1003)-K1003))</f>
        <v/>
      </c>
      <c r="M1003" s="127" t="str">
        <f>IF(B1003="","",IF(ISNA(MATCH(C1003,ETF!$A$7:$A$21,0)),"ETF?",IF(NOT(ISNUMBER(A1003)),"Data?",IF(AND(B1003&lt;&gt;"Dividendo",N(D1003)&lt;=0),"Quote?",IF(AND(B1003="Vendita",N(D1003)&gt;N(Q1003)+0.000001),"Quote?",IF(J1003&lt;=0,"Importo?","✓"))))))</f>
        <v/>
      </c>
      <c r="N1003" t="str">
        <f>IF(OR(B1003="Acquisto",B1003="Vendita"),COUNTIFS($C$5:C1003,C1003,$B$5:B1003,"Acquisto")+COUNTIFS($C$5:C1003,C1003,$B$5:B1003,"Vendita"),"")</f>
        <v/>
      </c>
      <c r="O1003" t="str">
        <f>IF(N1003="","",C1003&amp;"|"&amp;N1003)</f>
        <v/>
      </c>
      <c r="P1003" t="str">
        <f>IF(N1003="","",IF(N1003=1,0,MATCH(C1003&amp;"|"&amp;(N1003-1),$O$5:$O$1004,0)))</f>
        <v/>
      </c>
      <c r="Q1003" t="str">
        <f>IF(N1003="","",IF(P1003=0,SUMIFS(Calcoli!$C$7:$C$21,Calcoli!$A$7:$A$21,C1003),INDEX($S$5:$S$1004,P1003)))</f>
        <v/>
      </c>
      <c r="R1003" t="str">
        <f>IF(N1003="","",IF(P1003=0,SUMIFS(Calcoli!$D$7:$D$21,Calcoli!$A$7:$A$21,C1003),INDEX($T$5:$T$1004,P1003)))</f>
        <v/>
      </c>
      <c r="S1003" t="str">
        <f>IF(N1003="","",IF(B1003="Acquisto",Q1003+N(D1003),MAX(0,Q1003-N(D1003))))</f>
        <v/>
      </c>
      <c r="T1003" t="str">
        <f>IF(N1003="","",IF(B1003="Acquisto",R1003+J1003+N(G1003),IF(Q1003&lt;=0,0,R1003*(1-MIN(1,N(D1003)/Q1003)))))</f>
        <v/>
      </c>
      <c r="U1003" t="str">
        <f>IF(B1003&lt;&gt;"Vendita","",J1003-N(G1003)-IF(Q1003&lt;=0,0,R1003*MIN(1,N(D1003)/Q1003)))</f>
        <v/>
      </c>
      <c r="V1003" t="str">
        <f>IF(B1003&lt;&gt;"Dividendo","",IF(Calcoli!$B$251=1,J1003,L1003))</f>
        <v/>
      </c>
      <c r="W1003" t="str">
        <f>IF(AND(V1003&lt;&gt;"",ISNUMBER(A1003)),A1003,"")</f>
        <v/>
      </c>
    </row>
    <row r="1004">
      <c r="A1004" s="134" t="n"/>
      <c r="B1004" s="116" t="n"/>
      <c r="C1004" s="116" t="n"/>
      <c r="D1004" s="121" t="n"/>
      <c r="E1004" s="120" t="n"/>
      <c r="F1004" s="120" t="n"/>
      <c r="G1004" s="120" t="n"/>
      <c r="H1004" s="120" t="n"/>
      <c r="I1004" s="117" t="n"/>
      <c r="J1004" s="123" t="str">
        <f>IF(B1004="","",IF(F1004&lt;&gt;"",N(F1004),ROUND(N(D1004)*N(E1004),2)))</f>
        <v/>
      </c>
      <c r="K1004" s="123" t="str">
        <f>IF(B1004="","",IF(H1004&lt;&gt;"",N(H1004),IF(B1004="Dividendo",ROUND(J1004*IFERROR(INDEX(Calcoli!$V$7:$V$21,MATCH(C1004,Calcoli!$A$7:$A$21,0)),0.26),2),IF(B1004="Vendita",ROUND(MAX(0,U1004)*IFERROR(INDEX(Calcoli!$V$7:$V$21,MATCH(C1004,Calcoli!$A$7:$A$21,0)),0.26),2),0))))</f>
        <v/>
      </c>
      <c r="L1004" s="135" t="str">
        <f>IF(B1004="","",IF(B1004="Acquisto",-(J1004+N(G1004)),J1004-N(G1004)-K1004))</f>
        <v/>
      </c>
      <c r="M1004" s="127" t="str">
        <f>IF(B1004="","",IF(ISNA(MATCH(C1004,ETF!$A$7:$A$21,0)),"ETF?",IF(NOT(ISNUMBER(A1004)),"Data?",IF(AND(B1004&lt;&gt;"Dividendo",N(D1004)&lt;=0),"Quote?",IF(AND(B1004="Vendita",N(D1004)&gt;N(Q1004)+0.000001),"Quote?",IF(J1004&lt;=0,"Importo?","✓"))))))</f>
        <v/>
      </c>
      <c r="N1004" t="str">
        <f>IF(OR(B1004="Acquisto",B1004="Vendita"),COUNTIFS($C$5:C1004,C1004,$B$5:B1004,"Acquisto")+COUNTIFS($C$5:C1004,C1004,$B$5:B1004,"Vendita"),"")</f>
        <v/>
      </c>
      <c r="O1004" t="str">
        <f>IF(N1004="","",C1004&amp;"|"&amp;N1004)</f>
        <v/>
      </c>
      <c r="P1004" t="str">
        <f>IF(N1004="","",IF(N1004=1,0,MATCH(C1004&amp;"|"&amp;(N1004-1),$O$5:$O$1004,0)))</f>
        <v/>
      </c>
      <c r="Q1004" t="str">
        <f>IF(N1004="","",IF(P1004=0,SUMIFS(Calcoli!$C$7:$C$21,Calcoli!$A$7:$A$21,C1004),INDEX($S$5:$S$1004,P1004)))</f>
        <v/>
      </c>
      <c r="R1004" t="str">
        <f>IF(N1004="","",IF(P1004=0,SUMIFS(Calcoli!$D$7:$D$21,Calcoli!$A$7:$A$21,C1004),INDEX($T$5:$T$1004,P1004)))</f>
        <v/>
      </c>
      <c r="S1004" t="str">
        <f>IF(N1004="","",IF(B1004="Acquisto",Q1004+N(D1004),MAX(0,Q1004-N(D1004))))</f>
        <v/>
      </c>
      <c r="T1004" t="str">
        <f>IF(N1004="","",IF(B1004="Acquisto",R1004+J1004+N(G1004),IF(Q1004&lt;=0,0,R1004*(1-MIN(1,N(D1004)/Q1004)))))</f>
        <v/>
      </c>
      <c r="U1004" t="str">
        <f>IF(B1004&lt;&gt;"Vendita","",J1004-N(G1004)-IF(Q1004&lt;=0,0,R1004*MIN(1,N(D1004)/Q1004)))</f>
        <v/>
      </c>
      <c r="V1004" t="str">
        <f>IF(B1004&lt;&gt;"Dividendo","",IF(Calcoli!$B$251=1,J1004,L1004))</f>
        <v/>
      </c>
      <c r="W1004" t="str">
        <f>IF(AND(V1004&lt;&gt;"",ISNUMBER(A1004)),A1004,"")</f>
        <v/>
      </c>
    </row>
  </sheetData>
  <conditionalFormatting sqref="M5:M1004">
    <cfRule type="expression" priority="1" dxfId="4">
      <formula>AND(M5&lt;&gt;"",M5&lt;&gt;"✓")</formula>
    </cfRule>
    <cfRule type="expression" priority="2" dxfId="8">
      <formula>M5="✓"</formula>
    </cfRule>
  </conditionalFormatting>
  <dataValidations count="4">
    <dataValidation sqref="A5:A1004" showDropDown="0" showInputMessage="0" showErrorMessage="1" allowBlank="1" errorTitle="Data non valida" error="Scrivi una data, per esempio 05/11/2026." type="date" operator="between">
      <formula1>DATE(2000,1,1)</formula1>
      <formula2>DATE(2100,12,31)</formula2>
    </dataValidation>
    <dataValidation sqref="B5:B1004" showDropDown="0" showInputMessage="0" showErrorMessage="1" allowBlank="1" errorTitle="Operazione non valida" error="Scegli Acquisto, Vendita o Dividendo." type="list">
      <formula1>"Acquisto,Vendita,Dividendo"</formula1>
    </dataValidation>
    <dataValidation sqref="C5:C1004" showDropDown="0" showInputMessage="0" showErrorMessage="1" allowBlank="1" errorTitle="ETF non trovato" error="Scegli un ETF dal menu, o aggiungilo nel foglio ETF." type="list">
      <formula1>ETF!$A$7:$A$21</formula1>
    </dataValidation>
    <dataValidation sqref="D5:H1004" showDropDown="0" showInputMessage="0" showErrorMessage="1" allowBlank="1" errorTitle="Numero non valido" error="Scrivi un numero positivo." type="decimal" operator="greaterThanOrEqual">
      <formula1>0</formula1>
    </dataValidation>
  </dataValidations>
  <hyperlinks>
    <hyperlink ref="A3" location="'Riepilogo'!A1" display="← Torna al Riepilogo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B9C2D1"/>
    <outlinePr summaryBelow="1" summaryRight="1"/>
    <pageSetUpPr/>
  </sheetPr>
  <dimension ref="A1:F24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18" customWidth="1" min="4" max="4"/>
  </cols>
  <sheetData>
    <row r="1">
      <c r="A1" s="105" t="inlineStr">
        <is>
          <t>Storico</t>
        </is>
      </c>
    </row>
    <row r="2">
      <c r="A2" s="106" t="inlineStr">
        <is>
          <t>Se vuoi, una volta al mese scrivi quanto vale il portafoglio: il Riepilogo disegna il valore accanto a quanto hai versato.</t>
        </is>
      </c>
    </row>
    <row r="3">
      <c r="A3" s="107" t="inlineStr">
        <is>
          <t>← Torna al Riepilogo</t>
        </is>
      </c>
    </row>
    <row r="4">
      <c r="A4" s="109" t="inlineStr">
        <is>
          <t>Da compilare</t>
        </is>
      </c>
      <c r="B4" s="110" t="inlineStr">
        <is>
          <t>← le celle gialle sono le uniche da personalizzare; tutte le altre si calcolano da sole.</t>
        </is>
      </c>
    </row>
    <row r="5" ht="30" customHeight="1">
      <c r="A5" s="112" t="inlineStr">
        <is>
          <t>Mese</t>
        </is>
      </c>
      <c r="B5" s="113" t="inlineStr">
        <is>
          <t>Valore del portafoglio</t>
        </is>
      </c>
      <c r="C5" s="114" t="inlineStr">
        <is>
          <t>Versato fino a quel mese</t>
        </is>
      </c>
      <c r="D5" s="115" t="inlineStr">
        <is>
          <t>Guadagno o perdita</t>
        </is>
      </c>
    </row>
    <row r="6">
      <c r="A6" s="136" t="n">
        <v>45597</v>
      </c>
      <c r="B6" s="137" t="n">
        <v>6975</v>
      </c>
      <c r="C6" s="124">
        <f>IF(A6="","",-SUMIFS(Movimenti!$L$5:$L$1004,Movimenti!$A$5:$A$1004,"&lt;="&amp;EOMONTH(A6,0),Movimenti!$B$5:$B$1004,"&lt;&gt;Dividendo")+IF(Impostazioni!$B$7&lt;=EOMONTH(A6,0),SUM(Calcoli!$D$7:$D$21),0))</f>
        <v>6891.2</v>
      </c>
      <c r="D6" s="138">
        <f>IF(OR(A6="",B6=""),"",B6-C6)</f>
        <v>83.8000000000002</v>
      </c>
      <c r="F6" s="110" t="inlineStr">
        <is>
          <t>Il valore lo trovi nel conto titoli. Il versato si calcola dai movimenti: acquisti e commissioni, meno quello che hai incassato vendendo.</t>
        </is>
      </c>
    </row>
    <row r="7">
      <c r="A7" s="136" t="n">
        <v>45627</v>
      </c>
      <c r="B7" s="137" t="n">
        <v>7437</v>
      </c>
      <c r="C7" s="124">
        <f>IF(A7="","",-SUMIFS(Movimenti!$L$5:$L$1004,Movimenti!$A$5:$A$1004,"&lt;="&amp;EOMONTH(A7,0),Movimenti!$B$5:$B$1004,"&lt;&gt;Dividendo")+IF(Impostazioni!$B$7&lt;=EOMONTH(A7,0),SUM(Calcoli!$D$7:$D$21),0))</f>
        <v>7277.05</v>
      </c>
      <c r="D7" s="138">
        <f>IF(OR(A7="",B7=""),"",B7-C7)</f>
        <v>159.95</v>
      </c>
    </row>
    <row r="8">
      <c r="A8" s="136" t="n">
        <v>45658</v>
      </c>
      <c r="B8" s="137" t="n">
        <v>7979</v>
      </c>
      <c r="C8" s="124">
        <f>IF(A8="","",-SUMIFS(Movimenti!$L$5:$L$1004,Movimenti!$A$5:$A$1004,"&lt;="&amp;EOMONTH(A8,0),Movimenti!$B$5:$B$1004,"&lt;&gt;Dividendo")+IF(Impostazioni!$B$7&lt;=EOMONTH(A8,0),SUM(Calcoli!$D$7:$D$21),0))</f>
        <v>7634.87</v>
      </c>
      <c r="D8" s="138">
        <f>IF(OR(A8="",B8=""),"",B8-C8)</f>
        <v>344.13</v>
      </c>
    </row>
    <row r="9">
      <c r="A9" s="136" t="n">
        <v>45689</v>
      </c>
      <c r="B9" s="137" t="n">
        <v>8369</v>
      </c>
      <c r="C9" s="124">
        <f>IF(A9="","",-SUMIFS(Movimenti!$L$5:$L$1004,Movimenti!$A$5:$A$1004,"&lt;="&amp;EOMONTH(A9,0),Movimenti!$B$5:$B$1004,"&lt;&gt;Dividendo")+IF(Impostazioni!$B$7&lt;=EOMONTH(A9,0),SUM(Calcoli!$D$7:$D$21),0))</f>
        <v>8023.2</v>
      </c>
      <c r="D9" s="138">
        <f>IF(OR(A9="",B9=""),"",B9-C9)</f>
        <v>345.8</v>
      </c>
    </row>
    <row r="10">
      <c r="A10" s="136" t="n">
        <v>45717</v>
      </c>
      <c r="B10" s="137" t="n">
        <v>8614</v>
      </c>
      <c r="C10" s="124">
        <f>IF(A10="","",-SUMIFS(Movimenti!$L$5:$L$1004,Movimenti!$A$5:$A$1004,"&lt;="&amp;EOMONTH(A10,0),Movimenti!$B$5:$B$1004,"&lt;&gt;Dividendo")+IF(Impostazioni!$B$7&lt;=EOMONTH(A10,0),SUM(Calcoli!$D$7:$D$21),0))</f>
        <v>8404.28</v>
      </c>
      <c r="D10" s="138">
        <f>IF(OR(A10="",B10=""),"",B10-C10)</f>
        <v>209.719999999999</v>
      </c>
    </row>
    <row r="11">
      <c r="A11" s="136" t="n">
        <v>45748</v>
      </c>
      <c r="B11" s="137" t="n">
        <v>9041</v>
      </c>
      <c r="C11" s="124">
        <f>IF(A11="","",-SUMIFS(Movimenti!$L$5:$L$1004,Movimenti!$A$5:$A$1004,"&lt;="&amp;EOMONTH(A11,0),Movimenti!$B$5:$B$1004,"&lt;&gt;Dividendo")+IF(Impostazioni!$B$7&lt;=EOMONTH(A11,0),SUM(Calcoli!$D$7:$D$21),0))</f>
        <v>8770.84</v>
      </c>
      <c r="D11" s="138">
        <f>IF(OR(A11="",B11=""),"",B11-C11)</f>
        <v>270.16</v>
      </c>
    </row>
    <row r="12">
      <c r="A12" s="136" t="n">
        <v>45778</v>
      </c>
      <c r="B12" s="137" t="n">
        <v>9511</v>
      </c>
      <c r="C12" s="124">
        <f>IF(A12="","",-SUMIFS(Movimenti!$L$5:$L$1004,Movimenti!$A$5:$A$1004,"&lt;="&amp;EOMONTH(A12,0),Movimenti!$B$5:$B$1004,"&lt;&gt;Dividendo")+IF(Impostazioni!$B$7&lt;=EOMONTH(A12,0),SUM(Calcoli!$D$7:$D$21),0))</f>
        <v>9151.28</v>
      </c>
      <c r="D12" s="138">
        <f>IF(OR(A12="",B12=""),"",B12-C12)</f>
        <v>359.719999999999</v>
      </c>
    </row>
    <row r="13">
      <c r="A13" s="136" t="n">
        <v>45809</v>
      </c>
      <c r="B13" s="137" t="n">
        <v>10106</v>
      </c>
      <c r="C13" s="124">
        <f>IF(A13="","",-SUMIFS(Movimenti!$L$5:$L$1004,Movimenti!$A$5:$A$1004,"&lt;="&amp;EOMONTH(A13,0),Movimenti!$B$5:$B$1004,"&lt;&gt;Dividendo")+IF(Impostazioni!$B$7&lt;=EOMONTH(A13,0),SUM(Calcoli!$D$7:$D$21),0))</f>
        <v>9527.84</v>
      </c>
      <c r="D13" s="138">
        <f>IF(OR(A13="",B13=""),"",B13-C13)</f>
        <v>578.16</v>
      </c>
    </row>
    <row r="14">
      <c r="A14" s="136" t="n">
        <v>45839</v>
      </c>
      <c r="B14" s="137" t="n">
        <v>10349</v>
      </c>
      <c r="C14" s="124">
        <f>IF(A14="","",-SUMIFS(Movimenti!$L$5:$L$1004,Movimenti!$A$5:$A$1004,"&lt;="&amp;EOMONTH(A14,0),Movimenti!$B$5:$B$1004,"&lt;&gt;Dividendo")+IF(Impostazioni!$B$7&lt;=EOMONTH(A14,0),SUM(Calcoli!$D$7:$D$21),0))</f>
        <v>9891.55</v>
      </c>
      <c r="D14" s="138">
        <f>IF(OR(A14="",B14=""),"",B14-C14)</f>
        <v>457.450000000001</v>
      </c>
    </row>
    <row r="15">
      <c r="A15" s="136" t="n">
        <v>45870</v>
      </c>
      <c r="B15" s="137" t="n">
        <v>10587</v>
      </c>
      <c r="C15" s="124">
        <f>IF(A15="","",-SUMIFS(Movimenti!$L$5:$L$1004,Movimenti!$A$5:$A$1004,"&lt;="&amp;EOMONTH(A15,0),Movimenti!$B$5:$B$1004,"&lt;&gt;Dividendo")+IF(Impostazioni!$B$7&lt;=EOMONTH(A15,0),SUM(Calcoli!$D$7:$D$21),0))</f>
        <v>10281.13</v>
      </c>
      <c r="D15" s="138">
        <f>IF(OR(A15="",B15=""),"",B15-C15)</f>
        <v>305.869999999999</v>
      </c>
    </row>
    <row r="16">
      <c r="A16" s="136" t="n">
        <v>45901</v>
      </c>
      <c r="B16" s="137" t="n">
        <v>11088</v>
      </c>
      <c r="C16" s="124">
        <f>IF(A16="","",-SUMIFS(Movimenti!$L$5:$L$1004,Movimenti!$A$5:$A$1004,"&lt;="&amp;EOMONTH(A16,0),Movimenti!$B$5:$B$1004,"&lt;&gt;Dividendo")+IF(Impostazioni!$B$7&lt;=EOMONTH(A16,0),SUM(Calcoli!$D$7:$D$21),0))</f>
        <v>10659.04</v>
      </c>
      <c r="D16" s="138">
        <f>IF(OR(A16="",B16=""),"",B16-C16)</f>
        <v>428.959999999999</v>
      </c>
    </row>
    <row r="17">
      <c r="A17" s="136" t="n">
        <v>45931</v>
      </c>
      <c r="B17" s="137" t="n">
        <v>11678</v>
      </c>
      <c r="C17" s="124">
        <f>IF(A17="","",-SUMIFS(Movimenti!$L$5:$L$1004,Movimenti!$A$5:$A$1004,"&lt;="&amp;EOMONTH(A17,0),Movimenti!$B$5:$B$1004,"&lt;&gt;Dividendo")+IF(Impostazioni!$B$7&lt;=EOMONTH(A17,0),SUM(Calcoli!$D$7:$D$21),0))</f>
        <v>11045.44</v>
      </c>
      <c r="D17" s="138">
        <f>IF(OR(A17="",B17=""),"",B17-C17)</f>
        <v>632.560000000001</v>
      </c>
    </row>
    <row r="18">
      <c r="A18" s="136" t="n">
        <v>45962</v>
      </c>
      <c r="B18" s="137" t="n">
        <v>12587</v>
      </c>
      <c r="C18" s="124">
        <f>IF(A18="","",-SUMIFS(Movimenti!$L$5:$L$1004,Movimenti!$A$5:$A$1004,"&lt;="&amp;EOMONTH(A18,0),Movimenti!$B$5:$B$1004,"&lt;&gt;Dividendo")+IF(Impostazioni!$B$7&lt;=EOMONTH(A18,0),SUM(Calcoli!$D$7:$D$21),0))</f>
        <v>11430.14</v>
      </c>
      <c r="D18" s="138">
        <f>IF(OR(A18="",B18=""),"",B18-C18)</f>
        <v>1156.86</v>
      </c>
    </row>
    <row r="19">
      <c r="A19" s="136" t="n">
        <v>45992</v>
      </c>
      <c r="B19" s="137" t="n">
        <v>13269</v>
      </c>
      <c r="C19" s="124">
        <f>IF(A19="","",-SUMIFS(Movimenti!$L$5:$L$1004,Movimenti!$A$5:$A$1004,"&lt;="&amp;EOMONTH(A19,0),Movimenti!$B$5:$B$1004,"&lt;&gt;Dividendo")+IF(Impostazioni!$B$7&lt;=EOMONTH(A19,0),SUM(Calcoli!$D$7:$D$21),0))</f>
        <v>11789.95</v>
      </c>
      <c r="D19" s="138">
        <f>IF(OR(A19="",B19=""),"",B19-C19)</f>
        <v>1479.05</v>
      </c>
    </row>
    <row r="20">
      <c r="A20" s="136" t="n">
        <v>46023</v>
      </c>
      <c r="B20" s="137" t="n">
        <v>13797</v>
      </c>
      <c r="C20" s="124">
        <f>IF(A20="","",-SUMIFS(Movimenti!$L$5:$L$1004,Movimenti!$A$5:$A$1004,"&lt;="&amp;EOMONTH(A20,0),Movimenti!$B$5:$B$1004,"&lt;&gt;Dividendo")+IF(Impostazioni!$B$7&lt;=EOMONTH(A20,0),SUM(Calcoli!$D$7:$D$21),0))</f>
        <v>12155.2</v>
      </c>
      <c r="D20" s="138">
        <f>IF(OR(A20="",B20=""),"",B20-C20)</f>
        <v>1641.8</v>
      </c>
    </row>
    <row r="21">
      <c r="A21" s="136" t="n">
        <v>46054</v>
      </c>
      <c r="B21" s="137" t="n">
        <v>14068</v>
      </c>
      <c r="C21" s="124">
        <f>IF(A21="","",-SUMIFS(Movimenti!$L$5:$L$1004,Movimenti!$A$5:$A$1004,"&lt;="&amp;EOMONTH(A21,0),Movimenti!$B$5:$B$1004,"&lt;&gt;Dividendo")+IF(Impostazioni!$B$7&lt;=EOMONTH(A21,0),SUM(Calcoli!$D$7:$D$21),0))</f>
        <v>12538.6</v>
      </c>
      <c r="D21" s="138">
        <f>IF(OR(A21="",B21=""),"",B21-C21)</f>
        <v>1529.4</v>
      </c>
    </row>
    <row r="22">
      <c r="A22" s="136" t="n">
        <v>46082</v>
      </c>
      <c r="B22" s="137" t="n">
        <v>15184</v>
      </c>
      <c r="C22" s="124">
        <f>IF(A22="","",-SUMIFS(Movimenti!$L$5:$L$1004,Movimenti!$A$5:$A$1004,"&lt;="&amp;EOMONTH(A22,0),Movimenti!$B$5:$B$1004,"&lt;&gt;Dividendo")+IF(Impostazioni!$B$7&lt;=EOMONTH(A22,0),SUM(Calcoli!$D$7:$D$21),0))</f>
        <v>12880</v>
      </c>
      <c r="D22" s="138">
        <f>IF(OR(A22="",B22=""),"",B22-C22)</f>
        <v>2304</v>
      </c>
    </row>
    <row r="23">
      <c r="A23" s="136" t="n">
        <v>46113</v>
      </c>
      <c r="B23" s="137" t="n">
        <v>15670</v>
      </c>
      <c r="C23" s="124">
        <f>IF(A23="","",-SUMIFS(Movimenti!$L$5:$L$1004,Movimenti!$A$5:$A$1004,"&lt;="&amp;EOMONTH(A23,0),Movimenti!$B$5:$B$1004,"&lt;&gt;Dividendo")+IF(Impostazioni!$B$7&lt;=EOMONTH(A23,0),SUM(Calcoli!$D$7:$D$21),0))</f>
        <v>13216.95</v>
      </c>
      <c r="D23" s="138">
        <f>IF(OR(A23="",B23=""),"",B23-C23)</f>
        <v>2453.05</v>
      </c>
    </row>
    <row r="24">
      <c r="A24" s="136" t="n">
        <v>46143</v>
      </c>
      <c r="B24" s="137" t="n">
        <v>15908</v>
      </c>
      <c r="C24" s="124">
        <f>IF(A24="","",-SUMIFS(Movimenti!$L$5:$L$1004,Movimenti!$A$5:$A$1004,"&lt;="&amp;EOMONTH(A24,0),Movimenti!$B$5:$B$1004,"&lt;&gt;Dividendo")+IF(Impostazioni!$B$7&lt;=EOMONTH(A24,0),SUM(Calcoli!$D$7:$D$21),0))</f>
        <v>13556.95</v>
      </c>
      <c r="D24" s="138">
        <f>IF(OR(A24="",B24=""),"",B24-C24)</f>
        <v>2351.05</v>
      </c>
    </row>
    <row r="25">
      <c r="A25" s="136" t="n">
        <v>46174</v>
      </c>
      <c r="B25" s="137" t="n">
        <v>16093</v>
      </c>
      <c r="C25" s="124">
        <f>IF(A25="","",-SUMIFS(Movimenti!$L$5:$L$1004,Movimenti!$A$5:$A$1004,"&lt;="&amp;EOMONTH(A25,0),Movimenti!$B$5:$B$1004,"&lt;&gt;Dividendo")+IF(Impostazioni!$B$7&lt;=EOMONTH(A25,0),SUM(Calcoli!$D$7:$D$21),0))</f>
        <v>13884.83</v>
      </c>
      <c r="D25" s="138">
        <f>IF(OR(A25="",B25=""),"",B25-C25)</f>
        <v>2208.17</v>
      </c>
    </row>
    <row r="26">
      <c r="A26" s="136" t="n">
        <v>46204</v>
      </c>
      <c r="B26" s="137" t="n">
        <v>16605</v>
      </c>
      <c r="C26" s="124">
        <f>IF(A26="","",-SUMIFS(Movimenti!$L$5:$L$1004,Movimenti!$A$5:$A$1004,"&lt;="&amp;EOMONTH(A26,0),Movimenti!$B$5:$B$1004,"&lt;&gt;Dividendo")+IF(Impostazioni!$B$7&lt;=EOMONTH(A26,0),SUM(Calcoli!$D$7:$D$21),0))</f>
        <v>14261.94</v>
      </c>
      <c r="D26" s="138">
        <f>IF(OR(A26="",B26=""),"",B26-C26)</f>
        <v>2343.06</v>
      </c>
    </row>
    <row r="27">
      <c r="A27" s="136" t="n">
        <v>46235</v>
      </c>
      <c r="B27" s="137" t="n">
        <v>16992</v>
      </c>
      <c r="C27" s="124">
        <f>IF(A27="","",-SUMIFS(Movimenti!$L$5:$L$1004,Movimenti!$A$5:$A$1004,"&lt;="&amp;EOMONTH(A27,0),Movimenti!$B$5:$B$1004,"&lt;&gt;Dividendo")+IF(Impostazioni!$B$7&lt;=EOMONTH(A27,0),SUM(Calcoli!$D$7:$D$21),0))</f>
        <v>14639.82</v>
      </c>
      <c r="D27" s="138">
        <f>IF(OR(A27="",B27=""),"",B27-C27)</f>
        <v>2352.18</v>
      </c>
    </row>
    <row r="28">
      <c r="A28" s="136" t="n">
        <v>46266</v>
      </c>
      <c r="B28" s="137" t="n">
        <v>16663</v>
      </c>
      <c r="C28" s="124">
        <f>IF(A28="","",-SUMIFS(Movimenti!$L$5:$L$1004,Movimenti!$A$5:$A$1004,"&lt;="&amp;EOMONTH(A28,0),Movimenti!$B$5:$B$1004,"&lt;&gt;Dividendo")+IF(Impostazioni!$B$7&lt;=EOMONTH(A28,0),SUM(Calcoli!$D$7:$D$21),0))</f>
        <v>14331.08</v>
      </c>
      <c r="D28" s="138">
        <f>IF(OR(A28="",B28=""),"",B28-C28)</f>
        <v>2331.92</v>
      </c>
    </row>
    <row r="29">
      <c r="A29" s="136" t="n">
        <v>46296</v>
      </c>
      <c r="B29" s="137" t="n">
        <v>17074</v>
      </c>
      <c r="C29" s="124">
        <f>IF(A29="","",-SUMIFS(Movimenti!$L$5:$L$1004,Movimenti!$A$5:$A$1004,"&lt;="&amp;EOMONTH(A29,0),Movimenti!$B$5:$B$1004,"&lt;&gt;Dividendo")+IF(Impostazioni!$B$7&lt;=EOMONTH(A29,0),SUM(Calcoli!$D$7:$D$21),0))</f>
        <v>14708.9</v>
      </c>
      <c r="D29" s="138">
        <f>IF(OR(A29="",B29=""),"",B29-C29)</f>
        <v>2365.1</v>
      </c>
    </row>
    <row r="30">
      <c r="A30" s="136" t="n"/>
      <c r="B30" s="137" t="n"/>
      <c r="C30" s="124" t="str">
        <f>IF(A30="","",-SUMIFS(Movimenti!$L$5:$L$1004,Movimenti!$A$5:$A$1004,"&lt;="&amp;EOMONTH(A30,0),Movimenti!$B$5:$B$1004,"&lt;&gt;Dividendo")+IF(Impostazioni!$B$7&lt;=EOMONTH(A30,0),SUM(Calcoli!$D$7:$D$21),0))</f>
        <v/>
      </c>
      <c r="D30" s="138" t="str">
        <f>IF(OR(A30="",B30=""),"",B30-C30)</f>
        <v/>
      </c>
    </row>
    <row r="31">
      <c r="A31" s="136" t="n"/>
      <c r="B31" s="137" t="n"/>
      <c r="C31" s="124" t="str">
        <f>IF(A31="","",-SUMIFS(Movimenti!$L$5:$L$1004,Movimenti!$A$5:$A$1004,"&lt;="&amp;EOMONTH(A31,0),Movimenti!$B$5:$B$1004,"&lt;&gt;Dividendo")+IF(Impostazioni!$B$7&lt;=EOMONTH(A31,0),SUM(Calcoli!$D$7:$D$21),0))</f>
        <v/>
      </c>
      <c r="D31" s="138" t="str">
        <f>IF(OR(A31="",B31=""),"",B31-C31)</f>
        <v/>
      </c>
    </row>
    <row r="32">
      <c r="A32" s="136" t="n"/>
      <c r="B32" s="137" t="n"/>
      <c r="C32" s="124" t="str">
        <f>IF(A32="","",-SUMIFS(Movimenti!$L$5:$L$1004,Movimenti!$A$5:$A$1004,"&lt;="&amp;EOMONTH(A32,0),Movimenti!$B$5:$B$1004,"&lt;&gt;Dividendo")+IF(Impostazioni!$B$7&lt;=EOMONTH(A32,0),SUM(Calcoli!$D$7:$D$21),0))</f>
        <v/>
      </c>
      <c r="D32" s="138" t="str">
        <f>IF(OR(A32="",B32=""),"",B32-C32)</f>
        <v/>
      </c>
    </row>
    <row r="33">
      <c r="A33" s="136" t="n"/>
      <c r="B33" s="137" t="n"/>
      <c r="C33" s="124" t="str">
        <f>IF(A33="","",-SUMIFS(Movimenti!$L$5:$L$1004,Movimenti!$A$5:$A$1004,"&lt;="&amp;EOMONTH(A33,0),Movimenti!$B$5:$B$1004,"&lt;&gt;Dividendo")+IF(Impostazioni!$B$7&lt;=EOMONTH(A33,0),SUM(Calcoli!$D$7:$D$21),0))</f>
        <v/>
      </c>
      <c r="D33" s="138" t="str">
        <f>IF(OR(A33="",B33=""),"",B33-C33)</f>
        <v/>
      </c>
    </row>
    <row r="34">
      <c r="A34" s="136" t="n"/>
      <c r="B34" s="137" t="n"/>
      <c r="C34" s="124" t="str">
        <f>IF(A34="","",-SUMIFS(Movimenti!$L$5:$L$1004,Movimenti!$A$5:$A$1004,"&lt;="&amp;EOMONTH(A34,0),Movimenti!$B$5:$B$1004,"&lt;&gt;Dividendo")+IF(Impostazioni!$B$7&lt;=EOMONTH(A34,0),SUM(Calcoli!$D$7:$D$21),0))</f>
        <v/>
      </c>
      <c r="D34" s="138" t="str">
        <f>IF(OR(A34="",B34=""),"",B34-C34)</f>
        <v/>
      </c>
    </row>
    <row r="35">
      <c r="A35" s="136" t="n"/>
      <c r="B35" s="137" t="n"/>
      <c r="C35" s="124" t="str">
        <f>IF(A35="","",-SUMIFS(Movimenti!$L$5:$L$1004,Movimenti!$A$5:$A$1004,"&lt;="&amp;EOMONTH(A35,0),Movimenti!$B$5:$B$1004,"&lt;&gt;Dividendo")+IF(Impostazioni!$B$7&lt;=EOMONTH(A35,0),SUM(Calcoli!$D$7:$D$21),0))</f>
        <v/>
      </c>
      <c r="D35" s="138" t="str">
        <f>IF(OR(A35="",B35=""),"",B35-C35)</f>
        <v/>
      </c>
    </row>
    <row r="36">
      <c r="A36" s="136" t="n"/>
      <c r="B36" s="137" t="n"/>
      <c r="C36" s="124" t="str">
        <f>IF(A36="","",-SUMIFS(Movimenti!$L$5:$L$1004,Movimenti!$A$5:$A$1004,"&lt;="&amp;EOMONTH(A36,0),Movimenti!$B$5:$B$1004,"&lt;&gt;Dividendo")+IF(Impostazioni!$B$7&lt;=EOMONTH(A36,0),SUM(Calcoli!$D$7:$D$21),0))</f>
        <v/>
      </c>
      <c r="D36" s="138" t="str">
        <f>IF(OR(A36="",B36=""),"",B36-C36)</f>
        <v/>
      </c>
    </row>
    <row r="37">
      <c r="A37" s="136" t="n"/>
      <c r="B37" s="137" t="n"/>
      <c r="C37" s="124" t="str">
        <f>IF(A37="","",-SUMIFS(Movimenti!$L$5:$L$1004,Movimenti!$A$5:$A$1004,"&lt;="&amp;EOMONTH(A37,0),Movimenti!$B$5:$B$1004,"&lt;&gt;Dividendo")+IF(Impostazioni!$B$7&lt;=EOMONTH(A37,0),SUM(Calcoli!$D$7:$D$21),0))</f>
        <v/>
      </c>
      <c r="D37" s="138" t="str">
        <f>IF(OR(A37="",B37=""),"",B37-C37)</f>
        <v/>
      </c>
    </row>
    <row r="38">
      <c r="A38" s="136" t="n"/>
      <c r="B38" s="137" t="n"/>
      <c r="C38" s="124" t="str">
        <f>IF(A38="","",-SUMIFS(Movimenti!$L$5:$L$1004,Movimenti!$A$5:$A$1004,"&lt;="&amp;EOMONTH(A38,0),Movimenti!$B$5:$B$1004,"&lt;&gt;Dividendo")+IF(Impostazioni!$B$7&lt;=EOMONTH(A38,0),SUM(Calcoli!$D$7:$D$21),0))</f>
        <v/>
      </c>
      <c r="D38" s="138" t="str">
        <f>IF(OR(A38="",B38=""),"",B38-C38)</f>
        <v/>
      </c>
    </row>
    <row r="39">
      <c r="A39" s="136" t="n"/>
      <c r="B39" s="137" t="n"/>
      <c r="C39" s="124" t="str">
        <f>IF(A39="","",-SUMIFS(Movimenti!$L$5:$L$1004,Movimenti!$A$5:$A$1004,"&lt;="&amp;EOMONTH(A39,0),Movimenti!$B$5:$B$1004,"&lt;&gt;Dividendo")+IF(Impostazioni!$B$7&lt;=EOMONTH(A39,0),SUM(Calcoli!$D$7:$D$21),0))</f>
        <v/>
      </c>
      <c r="D39" s="138" t="str">
        <f>IF(OR(A39="",B39=""),"",B39-C39)</f>
        <v/>
      </c>
    </row>
    <row r="40">
      <c r="A40" s="136" t="n"/>
      <c r="B40" s="137" t="n"/>
      <c r="C40" s="124" t="str">
        <f>IF(A40="","",-SUMIFS(Movimenti!$L$5:$L$1004,Movimenti!$A$5:$A$1004,"&lt;="&amp;EOMONTH(A40,0),Movimenti!$B$5:$B$1004,"&lt;&gt;Dividendo")+IF(Impostazioni!$B$7&lt;=EOMONTH(A40,0),SUM(Calcoli!$D$7:$D$21),0))</f>
        <v/>
      </c>
      <c r="D40" s="138" t="str">
        <f>IF(OR(A40="",B40=""),"",B40-C40)</f>
        <v/>
      </c>
    </row>
    <row r="41">
      <c r="A41" s="136" t="n"/>
      <c r="B41" s="137" t="n"/>
      <c r="C41" s="124" t="str">
        <f>IF(A41="","",-SUMIFS(Movimenti!$L$5:$L$1004,Movimenti!$A$5:$A$1004,"&lt;="&amp;EOMONTH(A41,0),Movimenti!$B$5:$B$1004,"&lt;&gt;Dividendo")+IF(Impostazioni!$B$7&lt;=EOMONTH(A41,0),SUM(Calcoli!$D$7:$D$21),0))</f>
        <v/>
      </c>
      <c r="D41" s="138" t="str">
        <f>IF(OR(A41="",B41=""),"",B41-C41)</f>
        <v/>
      </c>
    </row>
    <row r="42">
      <c r="A42" s="136" t="n"/>
      <c r="B42" s="137" t="n"/>
      <c r="C42" s="124" t="str">
        <f>IF(A42="","",-SUMIFS(Movimenti!$L$5:$L$1004,Movimenti!$A$5:$A$1004,"&lt;="&amp;EOMONTH(A42,0),Movimenti!$B$5:$B$1004,"&lt;&gt;Dividendo")+IF(Impostazioni!$B$7&lt;=EOMONTH(A42,0),SUM(Calcoli!$D$7:$D$21),0))</f>
        <v/>
      </c>
      <c r="D42" s="138" t="str">
        <f>IF(OR(A42="",B42=""),"",B42-C42)</f>
        <v/>
      </c>
    </row>
    <row r="43">
      <c r="A43" s="136" t="n"/>
      <c r="B43" s="137" t="n"/>
      <c r="C43" s="124" t="str">
        <f>IF(A43="","",-SUMIFS(Movimenti!$L$5:$L$1004,Movimenti!$A$5:$A$1004,"&lt;="&amp;EOMONTH(A43,0),Movimenti!$B$5:$B$1004,"&lt;&gt;Dividendo")+IF(Impostazioni!$B$7&lt;=EOMONTH(A43,0),SUM(Calcoli!$D$7:$D$21),0))</f>
        <v/>
      </c>
      <c r="D43" s="138" t="str">
        <f>IF(OR(A43="",B43=""),"",B43-C43)</f>
        <v/>
      </c>
    </row>
    <row r="44">
      <c r="A44" s="136" t="n"/>
      <c r="B44" s="137" t="n"/>
      <c r="C44" s="124" t="str">
        <f>IF(A44="","",-SUMIFS(Movimenti!$L$5:$L$1004,Movimenti!$A$5:$A$1004,"&lt;="&amp;EOMONTH(A44,0),Movimenti!$B$5:$B$1004,"&lt;&gt;Dividendo")+IF(Impostazioni!$B$7&lt;=EOMONTH(A44,0),SUM(Calcoli!$D$7:$D$21),0))</f>
        <v/>
      </c>
      <c r="D44" s="138" t="str">
        <f>IF(OR(A44="",B44=""),"",B44-C44)</f>
        <v/>
      </c>
    </row>
    <row r="45">
      <c r="A45" s="136" t="n"/>
      <c r="B45" s="137" t="n"/>
      <c r="C45" s="124" t="str">
        <f>IF(A45="","",-SUMIFS(Movimenti!$L$5:$L$1004,Movimenti!$A$5:$A$1004,"&lt;="&amp;EOMONTH(A45,0),Movimenti!$B$5:$B$1004,"&lt;&gt;Dividendo")+IF(Impostazioni!$B$7&lt;=EOMONTH(A45,0),SUM(Calcoli!$D$7:$D$21),0))</f>
        <v/>
      </c>
      <c r="D45" s="138" t="str">
        <f>IF(OR(A45="",B45=""),"",B45-C45)</f>
        <v/>
      </c>
    </row>
    <row r="46">
      <c r="A46" s="136" t="n"/>
      <c r="B46" s="137" t="n"/>
      <c r="C46" s="124" t="str">
        <f>IF(A46="","",-SUMIFS(Movimenti!$L$5:$L$1004,Movimenti!$A$5:$A$1004,"&lt;="&amp;EOMONTH(A46,0),Movimenti!$B$5:$B$1004,"&lt;&gt;Dividendo")+IF(Impostazioni!$B$7&lt;=EOMONTH(A46,0),SUM(Calcoli!$D$7:$D$21),0))</f>
        <v/>
      </c>
      <c r="D46" s="138" t="str">
        <f>IF(OR(A46="",B46=""),"",B46-C46)</f>
        <v/>
      </c>
    </row>
    <row r="47">
      <c r="A47" s="136" t="n"/>
      <c r="B47" s="137" t="n"/>
      <c r="C47" s="124" t="str">
        <f>IF(A47="","",-SUMIFS(Movimenti!$L$5:$L$1004,Movimenti!$A$5:$A$1004,"&lt;="&amp;EOMONTH(A47,0),Movimenti!$B$5:$B$1004,"&lt;&gt;Dividendo")+IF(Impostazioni!$B$7&lt;=EOMONTH(A47,0),SUM(Calcoli!$D$7:$D$21),0))</f>
        <v/>
      </c>
      <c r="D47" s="138" t="str">
        <f>IF(OR(A47="",B47=""),"",B47-C47)</f>
        <v/>
      </c>
    </row>
    <row r="48">
      <c r="A48" s="136" t="n"/>
      <c r="B48" s="137" t="n"/>
      <c r="C48" s="124" t="str">
        <f>IF(A48="","",-SUMIFS(Movimenti!$L$5:$L$1004,Movimenti!$A$5:$A$1004,"&lt;="&amp;EOMONTH(A48,0),Movimenti!$B$5:$B$1004,"&lt;&gt;Dividendo")+IF(Impostazioni!$B$7&lt;=EOMONTH(A48,0),SUM(Calcoli!$D$7:$D$21),0))</f>
        <v/>
      </c>
      <c r="D48" s="138" t="str">
        <f>IF(OR(A48="",B48=""),"",B48-C48)</f>
        <v/>
      </c>
    </row>
    <row r="49">
      <c r="A49" s="136" t="n"/>
      <c r="B49" s="137" t="n"/>
      <c r="C49" s="124" t="str">
        <f>IF(A49="","",-SUMIFS(Movimenti!$L$5:$L$1004,Movimenti!$A$5:$A$1004,"&lt;="&amp;EOMONTH(A49,0),Movimenti!$B$5:$B$1004,"&lt;&gt;Dividendo")+IF(Impostazioni!$B$7&lt;=EOMONTH(A49,0),SUM(Calcoli!$D$7:$D$21),0))</f>
        <v/>
      </c>
      <c r="D49" s="138" t="str">
        <f>IF(OR(A49="",B49=""),"",B49-C49)</f>
        <v/>
      </c>
    </row>
    <row r="50">
      <c r="A50" s="136" t="n"/>
      <c r="B50" s="137" t="n"/>
      <c r="C50" s="124" t="str">
        <f>IF(A50="","",-SUMIFS(Movimenti!$L$5:$L$1004,Movimenti!$A$5:$A$1004,"&lt;="&amp;EOMONTH(A50,0),Movimenti!$B$5:$B$1004,"&lt;&gt;Dividendo")+IF(Impostazioni!$B$7&lt;=EOMONTH(A50,0),SUM(Calcoli!$D$7:$D$21),0))</f>
        <v/>
      </c>
      <c r="D50" s="138" t="str">
        <f>IF(OR(A50="",B50=""),"",B50-C50)</f>
        <v/>
      </c>
    </row>
    <row r="51">
      <c r="A51" s="136" t="n"/>
      <c r="B51" s="137" t="n"/>
      <c r="C51" s="124" t="str">
        <f>IF(A51="","",-SUMIFS(Movimenti!$L$5:$L$1004,Movimenti!$A$5:$A$1004,"&lt;="&amp;EOMONTH(A51,0),Movimenti!$B$5:$B$1004,"&lt;&gt;Dividendo")+IF(Impostazioni!$B$7&lt;=EOMONTH(A51,0),SUM(Calcoli!$D$7:$D$21),0))</f>
        <v/>
      </c>
      <c r="D51" s="138" t="str">
        <f>IF(OR(A51="",B51=""),"",B51-C51)</f>
        <v/>
      </c>
    </row>
    <row r="52">
      <c r="A52" s="136" t="n"/>
      <c r="B52" s="137" t="n"/>
      <c r="C52" s="124" t="str">
        <f>IF(A52="","",-SUMIFS(Movimenti!$L$5:$L$1004,Movimenti!$A$5:$A$1004,"&lt;="&amp;EOMONTH(A52,0),Movimenti!$B$5:$B$1004,"&lt;&gt;Dividendo")+IF(Impostazioni!$B$7&lt;=EOMONTH(A52,0),SUM(Calcoli!$D$7:$D$21),0))</f>
        <v/>
      </c>
      <c r="D52" s="138" t="str">
        <f>IF(OR(A52="",B52=""),"",B52-C52)</f>
        <v/>
      </c>
    </row>
    <row r="53">
      <c r="A53" s="136" t="n"/>
      <c r="B53" s="137" t="n"/>
      <c r="C53" s="124" t="str">
        <f>IF(A53="","",-SUMIFS(Movimenti!$L$5:$L$1004,Movimenti!$A$5:$A$1004,"&lt;="&amp;EOMONTH(A53,0),Movimenti!$B$5:$B$1004,"&lt;&gt;Dividendo")+IF(Impostazioni!$B$7&lt;=EOMONTH(A53,0),SUM(Calcoli!$D$7:$D$21),0))</f>
        <v/>
      </c>
      <c r="D53" s="138" t="str">
        <f>IF(OR(A53="",B53=""),"",B53-C53)</f>
        <v/>
      </c>
    </row>
    <row r="54">
      <c r="A54" s="136" t="n"/>
      <c r="B54" s="137" t="n"/>
      <c r="C54" s="124" t="str">
        <f>IF(A54="","",-SUMIFS(Movimenti!$L$5:$L$1004,Movimenti!$A$5:$A$1004,"&lt;="&amp;EOMONTH(A54,0),Movimenti!$B$5:$B$1004,"&lt;&gt;Dividendo")+IF(Impostazioni!$B$7&lt;=EOMONTH(A54,0),SUM(Calcoli!$D$7:$D$21),0))</f>
        <v/>
      </c>
      <c r="D54" s="138" t="str">
        <f>IF(OR(A54="",B54=""),"",B54-C54)</f>
        <v/>
      </c>
    </row>
    <row r="55">
      <c r="A55" s="136" t="n"/>
      <c r="B55" s="137" t="n"/>
      <c r="C55" s="124" t="str">
        <f>IF(A55="","",-SUMIFS(Movimenti!$L$5:$L$1004,Movimenti!$A$5:$A$1004,"&lt;="&amp;EOMONTH(A55,0),Movimenti!$B$5:$B$1004,"&lt;&gt;Dividendo")+IF(Impostazioni!$B$7&lt;=EOMONTH(A55,0),SUM(Calcoli!$D$7:$D$21),0))</f>
        <v/>
      </c>
      <c r="D55" s="138" t="str">
        <f>IF(OR(A55="",B55=""),"",B55-C55)</f>
        <v/>
      </c>
    </row>
    <row r="56">
      <c r="A56" s="136" t="n"/>
      <c r="B56" s="137" t="n"/>
      <c r="C56" s="124" t="str">
        <f>IF(A56="","",-SUMIFS(Movimenti!$L$5:$L$1004,Movimenti!$A$5:$A$1004,"&lt;="&amp;EOMONTH(A56,0),Movimenti!$B$5:$B$1004,"&lt;&gt;Dividendo")+IF(Impostazioni!$B$7&lt;=EOMONTH(A56,0),SUM(Calcoli!$D$7:$D$21),0))</f>
        <v/>
      </c>
      <c r="D56" s="138" t="str">
        <f>IF(OR(A56="",B56=""),"",B56-C56)</f>
        <v/>
      </c>
    </row>
    <row r="57">
      <c r="A57" s="136" t="n"/>
      <c r="B57" s="137" t="n"/>
      <c r="C57" s="124" t="str">
        <f>IF(A57="","",-SUMIFS(Movimenti!$L$5:$L$1004,Movimenti!$A$5:$A$1004,"&lt;="&amp;EOMONTH(A57,0),Movimenti!$B$5:$B$1004,"&lt;&gt;Dividendo")+IF(Impostazioni!$B$7&lt;=EOMONTH(A57,0),SUM(Calcoli!$D$7:$D$21),0))</f>
        <v/>
      </c>
      <c r="D57" s="138" t="str">
        <f>IF(OR(A57="",B57=""),"",B57-C57)</f>
        <v/>
      </c>
    </row>
    <row r="58">
      <c r="A58" s="136" t="n"/>
      <c r="B58" s="137" t="n"/>
      <c r="C58" s="124" t="str">
        <f>IF(A58="","",-SUMIFS(Movimenti!$L$5:$L$1004,Movimenti!$A$5:$A$1004,"&lt;="&amp;EOMONTH(A58,0),Movimenti!$B$5:$B$1004,"&lt;&gt;Dividendo")+IF(Impostazioni!$B$7&lt;=EOMONTH(A58,0),SUM(Calcoli!$D$7:$D$21),0))</f>
        <v/>
      </c>
      <c r="D58" s="138" t="str">
        <f>IF(OR(A58="",B58=""),"",B58-C58)</f>
        <v/>
      </c>
    </row>
    <row r="59">
      <c r="A59" s="136" t="n"/>
      <c r="B59" s="137" t="n"/>
      <c r="C59" s="124" t="str">
        <f>IF(A59="","",-SUMIFS(Movimenti!$L$5:$L$1004,Movimenti!$A$5:$A$1004,"&lt;="&amp;EOMONTH(A59,0),Movimenti!$B$5:$B$1004,"&lt;&gt;Dividendo")+IF(Impostazioni!$B$7&lt;=EOMONTH(A59,0),SUM(Calcoli!$D$7:$D$21),0))</f>
        <v/>
      </c>
      <c r="D59" s="138" t="str">
        <f>IF(OR(A59="",B59=""),"",B59-C59)</f>
        <v/>
      </c>
    </row>
    <row r="60">
      <c r="A60" s="136" t="n"/>
      <c r="B60" s="137" t="n"/>
      <c r="C60" s="124" t="str">
        <f>IF(A60="","",-SUMIFS(Movimenti!$L$5:$L$1004,Movimenti!$A$5:$A$1004,"&lt;="&amp;EOMONTH(A60,0),Movimenti!$B$5:$B$1004,"&lt;&gt;Dividendo")+IF(Impostazioni!$B$7&lt;=EOMONTH(A60,0),SUM(Calcoli!$D$7:$D$21),0))</f>
        <v/>
      </c>
      <c r="D60" s="138" t="str">
        <f>IF(OR(A60="",B60=""),"",B60-C60)</f>
        <v/>
      </c>
    </row>
    <row r="61">
      <c r="A61" s="136" t="n"/>
      <c r="B61" s="137" t="n"/>
      <c r="C61" s="124" t="str">
        <f>IF(A61="","",-SUMIFS(Movimenti!$L$5:$L$1004,Movimenti!$A$5:$A$1004,"&lt;="&amp;EOMONTH(A61,0),Movimenti!$B$5:$B$1004,"&lt;&gt;Dividendo")+IF(Impostazioni!$B$7&lt;=EOMONTH(A61,0),SUM(Calcoli!$D$7:$D$21),0))</f>
        <v/>
      </c>
      <c r="D61" s="138" t="str">
        <f>IF(OR(A61="",B61=""),"",B61-C61)</f>
        <v/>
      </c>
    </row>
    <row r="62">
      <c r="A62" s="136" t="n"/>
      <c r="B62" s="137" t="n"/>
      <c r="C62" s="124" t="str">
        <f>IF(A62="","",-SUMIFS(Movimenti!$L$5:$L$1004,Movimenti!$A$5:$A$1004,"&lt;="&amp;EOMONTH(A62,0),Movimenti!$B$5:$B$1004,"&lt;&gt;Dividendo")+IF(Impostazioni!$B$7&lt;=EOMONTH(A62,0),SUM(Calcoli!$D$7:$D$21),0))</f>
        <v/>
      </c>
      <c r="D62" s="138" t="str">
        <f>IF(OR(A62="",B62=""),"",B62-C62)</f>
        <v/>
      </c>
    </row>
    <row r="63">
      <c r="A63" s="136" t="n"/>
      <c r="B63" s="137" t="n"/>
      <c r="C63" s="124" t="str">
        <f>IF(A63="","",-SUMIFS(Movimenti!$L$5:$L$1004,Movimenti!$A$5:$A$1004,"&lt;="&amp;EOMONTH(A63,0),Movimenti!$B$5:$B$1004,"&lt;&gt;Dividendo")+IF(Impostazioni!$B$7&lt;=EOMONTH(A63,0),SUM(Calcoli!$D$7:$D$21),0))</f>
        <v/>
      </c>
      <c r="D63" s="138" t="str">
        <f>IF(OR(A63="",B63=""),"",B63-C63)</f>
        <v/>
      </c>
    </row>
    <row r="64">
      <c r="A64" s="136" t="n"/>
      <c r="B64" s="137" t="n"/>
      <c r="C64" s="124" t="str">
        <f>IF(A64="","",-SUMIFS(Movimenti!$L$5:$L$1004,Movimenti!$A$5:$A$1004,"&lt;="&amp;EOMONTH(A64,0),Movimenti!$B$5:$B$1004,"&lt;&gt;Dividendo")+IF(Impostazioni!$B$7&lt;=EOMONTH(A64,0),SUM(Calcoli!$D$7:$D$21),0))</f>
        <v/>
      </c>
      <c r="D64" s="138" t="str">
        <f>IF(OR(A64="",B64=""),"",B64-C64)</f>
        <v/>
      </c>
    </row>
    <row r="65">
      <c r="A65" s="136" t="n"/>
      <c r="B65" s="137" t="n"/>
      <c r="C65" s="124" t="str">
        <f>IF(A65="","",-SUMIFS(Movimenti!$L$5:$L$1004,Movimenti!$A$5:$A$1004,"&lt;="&amp;EOMONTH(A65,0),Movimenti!$B$5:$B$1004,"&lt;&gt;Dividendo")+IF(Impostazioni!$B$7&lt;=EOMONTH(A65,0),SUM(Calcoli!$D$7:$D$21),0))</f>
        <v/>
      </c>
      <c r="D65" s="138" t="str">
        <f>IF(OR(A65="",B65=""),"",B65-C65)</f>
        <v/>
      </c>
    </row>
    <row r="66">
      <c r="A66" s="136" t="n"/>
      <c r="B66" s="137" t="n"/>
      <c r="C66" s="124" t="str">
        <f>IF(A66="","",-SUMIFS(Movimenti!$L$5:$L$1004,Movimenti!$A$5:$A$1004,"&lt;="&amp;EOMONTH(A66,0),Movimenti!$B$5:$B$1004,"&lt;&gt;Dividendo")+IF(Impostazioni!$B$7&lt;=EOMONTH(A66,0),SUM(Calcoli!$D$7:$D$21),0))</f>
        <v/>
      </c>
      <c r="D66" s="138" t="str">
        <f>IF(OR(A66="",B66=""),"",B66-C66)</f>
        <v/>
      </c>
    </row>
    <row r="67">
      <c r="A67" s="136" t="n"/>
      <c r="B67" s="137" t="n"/>
      <c r="C67" s="124" t="str">
        <f>IF(A67="","",-SUMIFS(Movimenti!$L$5:$L$1004,Movimenti!$A$5:$A$1004,"&lt;="&amp;EOMONTH(A67,0),Movimenti!$B$5:$B$1004,"&lt;&gt;Dividendo")+IF(Impostazioni!$B$7&lt;=EOMONTH(A67,0),SUM(Calcoli!$D$7:$D$21),0))</f>
        <v/>
      </c>
      <c r="D67" s="138" t="str">
        <f>IF(OR(A67="",B67=""),"",B67-C67)</f>
        <v/>
      </c>
    </row>
    <row r="68">
      <c r="A68" s="136" t="n"/>
      <c r="B68" s="137" t="n"/>
      <c r="C68" s="124" t="str">
        <f>IF(A68="","",-SUMIFS(Movimenti!$L$5:$L$1004,Movimenti!$A$5:$A$1004,"&lt;="&amp;EOMONTH(A68,0),Movimenti!$B$5:$B$1004,"&lt;&gt;Dividendo")+IF(Impostazioni!$B$7&lt;=EOMONTH(A68,0),SUM(Calcoli!$D$7:$D$21),0))</f>
        <v/>
      </c>
      <c r="D68" s="138" t="str">
        <f>IF(OR(A68="",B68=""),"",B68-C68)</f>
        <v/>
      </c>
    </row>
    <row r="69">
      <c r="A69" s="136" t="n"/>
      <c r="B69" s="137" t="n"/>
      <c r="C69" s="124" t="str">
        <f>IF(A69="","",-SUMIFS(Movimenti!$L$5:$L$1004,Movimenti!$A$5:$A$1004,"&lt;="&amp;EOMONTH(A69,0),Movimenti!$B$5:$B$1004,"&lt;&gt;Dividendo")+IF(Impostazioni!$B$7&lt;=EOMONTH(A69,0),SUM(Calcoli!$D$7:$D$21),0))</f>
        <v/>
      </c>
      <c r="D69" s="138" t="str">
        <f>IF(OR(A69="",B69=""),"",B69-C69)</f>
        <v/>
      </c>
    </row>
    <row r="70">
      <c r="A70" s="136" t="n"/>
      <c r="B70" s="137" t="n"/>
      <c r="C70" s="124" t="str">
        <f>IF(A70="","",-SUMIFS(Movimenti!$L$5:$L$1004,Movimenti!$A$5:$A$1004,"&lt;="&amp;EOMONTH(A70,0),Movimenti!$B$5:$B$1004,"&lt;&gt;Dividendo")+IF(Impostazioni!$B$7&lt;=EOMONTH(A70,0),SUM(Calcoli!$D$7:$D$21),0))</f>
        <v/>
      </c>
      <c r="D70" s="138" t="str">
        <f>IF(OR(A70="",B70=""),"",B70-C70)</f>
        <v/>
      </c>
    </row>
    <row r="71">
      <c r="A71" s="136" t="n"/>
      <c r="B71" s="137" t="n"/>
      <c r="C71" s="124" t="str">
        <f>IF(A71="","",-SUMIFS(Movimenti!$L$5:$L$1004,Movimenti!$A$5:$A$1004,"&lt;="&amp;EOMONTH(A71,0),Movimenti!$B$5:$B$1004,"&lt;&gt;Dividendo")+IF(Impostazioni!$B$7&lt;=EOMONTH(A71,0),SUM(Calcoli!$D$7:$D$21),0))</f>
        <v/>
      </c>
      <c r="D71" s="138" t="str">
        <f>IF(OR(A71="",B71=""),"",B71-C71)</f>
        <v/>
      </c>
    </row>
    <row r="72">
      <c r="A72" s="136" t="n"/>
      <c r="B72" s="137" t="n"/>
      <c r="C72" s="124" t="str">
        <f>IF(A72="","",-SUMIFS(Movimenti!$L$5:$L$1004,Movimenti!$A$5:$A$1004,"&lt;="&amp;EOMONTH(A72,0),Movimenti!$B$5:$B$1004,"&lt;&gt;Dividendo")+IF(Impostazioni!$B$7&lt;=EOMONTH(A72,0),SUM(Calcoli!$D$7:$D$21),0))</f>
        <v/>
      </c>
      <c r="D72" s="138" t="str">
        <f>IF(OR(A72="",B72=""),"",B72-C72)</f>
        <v/>
      </c>
    </row>
    <row r="73">
      <c r="A73" s="136" t="n"/>
      <c r="B73" s="137" t="n"/>
      <c r="C73" s="124" t="str">
        <f>IF(A73="","",-SUMIFS(Movimenti!$L$5:$L$1004,Movimenti!$A$5:$A$1004,"&lt;="&amp;EOMONTH(A73,0),Movimenti!$B$5:$B$1004,"&lt;&gt;Dividendo")+IF(Impostazioni!$B$7&lt;=EOMONTH(A73,0),SUM(Calcoli!$D$7:$D$21),0))</f>
        <v/>
      </c>
      <c r="D73" s="138" t="str">
        <f>IF(OR(A73="",B73=""),"",B73-C73)</f>
        <v/>
      </c>
    </row>
    <row r="74">
      <c r="A74" s="136" t="n"/>
      <c r="B74" s="137" t="n"/>
      <c r="C74" s="124" t="str">
        <f>IF(A74="","",-SUMIFS(Movimenti!$L$5:$L$1004,Movimenti!$A$5:$A$1004,"&lt;="&amp;EOMONTH(A74,0),Movimenti!$B$5:$B$1004,"&lt;&gt;Dividendo")+IF(Impostazioni!$B$7&lt;=EOMONTH(A74,0),SUM(Calcoli!$D$7:$D$21),0))</f>
        <v/>
      </c>
      <c r="D74" s="138" t="str">
        <f>IF(OR(A74="",B74=""),"",B74-C74)</f>
        <v/>
      </c>
    </row>
    <row r="75">
      <c r="A75" s="136" t="n"/>
      <c r="B75" s="137" t="n"/>
      <c r="C75" s="124" t="str">
        <f>IF(A75="","",-SUMIFS(Movimenti!$L$5:$L$1004,Movimenti!$A$5:$A$1004,"&lt;="&amp;EOMONTH(A75,0),Movimenti!$B$5:$B$1004,"&lt;&gt;Dividendo")+IF(Impostazioni!$B$7&lt;=EOMONTH(A75,0),SUM(Calcoli!$D$7:$D$21),0))</f>
        <v/>
      </c>
      <c r="D75" s="138" t="str">
        <f>IF(OR(A75="",B75=""),"",B75-C75)</f>
        <v/>
      </c>
    </row>
    <row r="76">
      <c r="A76" s="136" t="n"/>
      <c r="B76" s="137" t="n"/>
      <c r="C76" s="124" t="str">
        <f>IF(A76="","",-SUMIFS(Movimenti!$L$5:$L$1004,Movimenti!$A$5:$A$1004,"&lt;="&amp;EOMONTH(A76,0),Movimenti!$B$5:$B$1004,"&lt;&gt;Dividendo")+IF(Impostazioni!$B$7&lt;=EOMONTH(A76,0),SUM(Calcoli!$D$7:$D$21),0))</f>
        <v/>
      </c>
      <c r="D76" s="138" t="str">
        <f>IF(OR(A76="",B76=""),"",B76-C76)</f>
        <v/>
      </c>
    </row>
    <row r="77">
      <c r="A77" s="136" t="n"/>
      <c r="B77" s="137" t="n"/>
      <c r="C77" s="124" t="str">
        <f>IF(A77="","",-SUMIFS(Movimenti!$L$5:$L$1004,Movimenti!$A$5:$A$1004,"&lt;="&amp;EOMONTH(A77,0),Movimenti!$B$5:$B$1004,"&lt;&gt;Dividendo")+IF(Impostazioni!$B$7&lt;=EOMONTH(A77,0),SUM(Calcoli!$D$7:$D$21),0))</f>
        <v/>
      </c>
      <c r="D77" s="138" t="str">
        <f>IF(OR(A77="",B77=""),"",B77-C77)</f>
        <v/>
      </c>
    </row>
    <row r="78">
      <c r="A78" s="136" t="n"/>
      <c r="B78" s="137" t="n"/>
      <c r="C78" s="124" t="str">
        <f>IF(A78="","",-SUMIFS(Movimenti!$L$5:$L$1004,Movimenti!$A$5:$A$1004,"&lt;="&amp;EOMONTH(A78,0),Movimenti!$B$5:$B$1004,"&lt;&gt;Dividendo")+IF(Impostazioni!$B$7&lt;=EOMONTH(A78,0),SUM(Calcoli!$D$7:$D$21),0))</f>
        <v/>
      </c>
      <c r="D78" s="138" t="str">
        <f>IF(OR(A78="",B78=""),"",B78-C78)</f>
        <v/>
      </c>
    </row>
    <row r="79">
      <c r="A79" s="136" t="n"/>
      <c r="B79" s="137" t="n"/>
      <c r="C79" s="124" t="str">
        <f>IF(A79="","",-SUMIFS(Movimenti!$L$5:$L$1004,Movimenti!$A$5:$A$1004,"&lt;="&amp;EOMONTH(A79,0),Movimenti!$B$5:$B$1004,"&lt;&gt;Dividendo")+IF(Impostazioni!$B$7&lt;=EOMONTH(A79,0),SUM(Calcoli!$D$7:$D$21),0))</f>
        <v/>
      </c>
      <c r="D79" s="138" t="str">
        <f>IF(OR(A79="",B79=""),"",B79-C79)</f>
        <v/>
      </c>
    </row>
    <row r="80">
      <c r="A80" s="136" t="n"/>
      <c r="B80" s="137" t="n"/>
      <c r="C80" s="124" t="str">
        <f>IF(A80="","",-SUMIFS(Movimenti!$L$5:$L$1004,Movimenti!$A$5:$A$1004,"&lt;="&amp;EOMONTH(A80,0),Movimenti!$B$5:$B$1004,"&lt;&gt;Dividendo")+IF(Impostazioni!$B$7&lt;=EOMONTH(A80,0),SUM(Calcoli!$D$7:$D$21),0))</f>
        <v/>
      </c>
      <c r="D80" s="138" t="str">
        <f>IF(OR(A80="",B80=""),"",B80-C80)</f>
        <v/>
      </c>
    </row>
    <row r="81">
      <c r="A81" s="136" t="n"/>
      <c r="B81" s="137" t="n"/>
      <c r="C81" s="124" t="str">
        <f>IF(A81="","",-SUMIFS(Movimenti!$L$5:$L$1004,Movimenti!$A$5:$A$1004,"&lt;="&amp;EOMONTH(A81,0),Movimenti!$B$5:$B$1004,"&lt;&gt;Dividendo")+IF(Impostazioni!$B$7&lt;=EOMONTH(A81,0),SUM(Calcoli!$D$7:$D$21),0))</f>
        <v/>
      </c>
      <c r="D81" s="138" t="str">
        <f>IF(OR(A81="",B81=""),"",B81-C81)</f>
        <v/>
      </c>
    </row>
    <row r="82">
      <c r="A82" s="136" t="n"/>
      <c r="B82" s="137" t="n"/>
      <c r="C82" s="124" t="str">
        <f>IF(A82="","",-SUMIFS(Movimenti!$L$5:$L$1004,Movimenti!$A$5:$A$1004,"&lt;="&amp;EOMONTH(A82,0),Movimenti!$B$5:$B$1004,"&lt;&gt;Dividendo")+IF(Impostazioni!$B$7&lt;=EOMONTH(A82,0),SUM(Calcoli!$D$7:$D$21),0))</f>
        <v/>
      </c>
      <c r="D82" s="138" t="str">
        <f>IF(OR(A82="",B82=""),"",B82-C82)</f>
        <v/>
      </c>
    </row>
    <row r="83">
      <c r="A83" s="136" t="n"/>
      <c r="B83" s="137" t="n"/>
      <c r="C83" s="124" t="str">
        <f>IF(A83="","",-SUMIFS(Movimenti!$L$5:$L$1004,Movimenti!$A$5:$A$1004,"&lt;="&amp;EOMONTH(A83,0),Movimenti!$B$5:$B$1004,"&lt;&gt;Dividendo")+IF(Impostazioni!$B$7&lt;=EOMONTH(A83,0),SUM(Calcoli!$D$7:$D$21),0))</f>
        <v/>
      </c>
      <c r="D83" s="138" t="str">
        <f>IF(OR(A83="",B83=""),"",B83-C83)</f>
        <v/>
      </c>
    </row>
    <row r="84">
      <c r="A84" s="136" t="n"/>
      <c r="B84" s="137" t="n"/>
      <c r="C84" s="124" t="str">
        <f>IF(A84="","",-SUMIFS(Movimenti!$L$5:$L$1004,Movimenti!$A$5:$A$1004,"&lt;="&amp;EOMONTH(A84,0),Movimenti!$B$5:$B$1004,"&lt;&gt;Dividendo")+IF(Impostazioni!$B$7&lt;=EOMONTH(A84,0),SUM(Calcoli!$D$7:$D$21),0))</f>
        <v/>
      </c>
      <c r="D84" s="138" t="str">
        <f>IF(OR(A84="",B84=""),"",B84-C84)</f>
        <v/>
      </c>
    </row>
    <row r="85">
      <c r="A85" s="136" t="n"/>
      <c r="B85" s="137" t="n"/>
      <c r="C85" s="124" t="str">
        <f>IF(A85="","",-SUMIFS(Movimenti!$L$5:$L$1004,Movimenti!$A$5:$A$1004,"&lt;="&amp;EOMONTH(A85,0),Movimenti!$B$5:$B$1004,"&lt;&gt;Dividendo")+IF(Impostazioni!$B$7&lt;=EOMONTH(A85,0),SUM(Calcoli!$D$7:$D$21),0))</f>
        <v/>
      </c>
      <c r="D85" s="138" t="str">
        <f>IF(OR(A85="",B85=""),"",B85-C85)</f>
        <v/>
      </c>
    </row>
    <row r="86">
      <c r="A86" s="136" t="n"/>
      <c r="B86" s="137" t="n"/>
      <c r="C86" s="124" t="str">
        <f>IF(A86="","",-SUMIFS(Movimenti!$L$5:$L$1004,Movimenti!$A$5:$A$1004,"&lt;="&amp;EOMONTH(A86,0),Movimenti!$B$5:$B$1004,"&lt;&gt;Dividendo")+IF(Impostazioni!$B$7&lt;=EOMONTH(A86,0),SUM(Calcoli!$D$7:$D$21),0))</f>
        <v/>
      </c>
      <c r="D86" s="138" t="str">
        <f>IF(OR(A86="",B86=""),"",B86-C86)</f>
        <v/>
      </c>
    </row>
    <row r="87">
      <c r="A87" s="136" t="n"/>
      <c r="B87" s="137" t="n"/>
      <c r="C87" s="124" t="str">
        <f>IF(A87="","",-SUMIFS(Movimenti!$L$5:$L$1004,Movimenti!$A$5:$A$1004,"&lt;="&amp;EOMONTH(A87,0),Movimenti!$B$5:$B$1004,"&lt;&gt;Dividendo")+IF(Impostazioni!$B$7&lt;=EOMONTH(A87,0),SUM(Calcoli!$D$7:$D$21),0))</f>
        <v/>
      </c>
      <c r="D87" s="138" t="str">
        <f>IF(OR(A87="",B87=""),"",B87-C87)</f>
        <v/>
      </c>
    </row>
    <row r="88">
      <c r="A88" s="136" t="n"/>
      <c r="B88" s="137" t="n"/>
      <c r="C88" s="124" t="str">
        <f>IF(A88="","",-SUMIFS(Movimenti!$L$5:$L$1004,Movimenti!$A$5:$A$1004,"&lt;="&amp;EOMONTH(A88,0),Movimenti!$B$5:$B$1004,"&lt;&gt;Dividendo")+IF(Impostazioni!$B$7&lt;=EOMONTH(A88,0),SUM(Calcoli!$D$7:$D$21),0))</f>
        <v/>
      </c>
      <c r="D88" s="138" t="str">
        <f>IF(OR(A88="",B88=""),"",B88-C88)</f>
        <v/>
      </c>
    </row>
    <row r="89">
      <c r="A89" s="136" t="n"/>
      <c r="B89" s="137" t="n"/>
      <c r="C89" s="124" t="str">
        <f>IF(A89="","",-SUMIFS(Movimenti!$L$5:$L$1004,Movimenti!$A$5:$A$1004,"&lt;="&amp;EOMONTH(A89,0),Movimenti!$B$5:$B$1004,"&lt;&gt;Dividendo")+IF(Impostazioni!$B$7&lt;=EOMONTH(A89,0),SUM(Calcoli!$D$7:$D$21),0))</f>
        <v/>
      </c>
      <c r="D89" s="138" t="str">
        <f>IF(OR(A89="",B89=""),"",B89-C89)</f>
        <v/>
      </c>
    </row>
    <row r="90">
      <c r="A90" s="136" t="n"/>
      <c r="B90" s="137" t="n"/>
      <c r="C90" s="124" t="str">
        <f>IF(A90="","",-SUMIFS(Movimenti!$L$5:$L$1004,Movimenti!$A$5:$A$1004,"&lt;="&amp;EOMONTH(A90,0),Movimenti!$B$5:$B$1004,"&lt;&gt;Dividendo")+IF(Impostazioni!$B$7&lt;=EOMONTH(A90,0),SUM(Calcoli!$D$7:$D$21),0))</f>
        <v/>
      </c>
      <c r="D90" s="138" t="str">
        <f>IF(OR(A90="",B90=""),"",B90-C90)</f>
        <v/>
      </c>
    </row>
    <row r="91">
      <c r="A91" s="136" t="n"/>
      <c r="B91" s="137" t="n"/>
      <c r="C91" s="124" t="str">
        <f>IF(A91="","",-SUMIFS(Movimenti!$L$5:$L$1004,Movimenti!$A$5:$A$1004,"&lt;="&amp;EOMONTH(A91,0),Movimenti!$B$5:$B$1004,"&lt;&gt;Dividendo")+IF(Impostazioni!$B$7&lt;=EOMONTH(A91,0),SUM(Calcoli!$D$7:$D$21),0))</f>
        <v/>
      </c>
      <c r="D91" s="138" t="str">
        <f>IF(OR(A91="",B91=""),"",B91-C91)</f>
        <v/>
      </c>
    </row>
    <row r="92">
      <c r="A92" s="136" t="n"/>
      <c r="B92" s="137" t="n"/>
      <c r="C92" s="124" t="str">
        <f>IF(A92="","",-SUMIFS(Movimenti!$L$5:$L$1004,Movimenti!$A$5:$A$1004,"&lt;="&amp;EOMONTH(A92,0),Movimenti!$B$5:$B$1004,"&lt;&gt;Dividendo")+IF(Impostazioni!$B$7&lt;=EOMONTH(A92,0),SUM(Calcoli!$D$7:$D$21),0))</f>
        <v/>
      </c>
      <c r="D92" s="138" t="str">
        <f>IF(OR(A92="",B92=""),"",B92-C92)</f>
        <v/>
      </c>
    </row>
    <row r="93">
      <c r="A93" s="136" t="n"/>
      <c r="B93" s="137" t="n"/>
      <c r="C93" s="124" t="str">
        <f>IF(A93="","",-SUMIFS(Movimenti!$L$5:$L$1004,Movimenti!$A$5:$A$1004,"&lt;="&amp;EOMONTH(A93,0),Movimenti!$B$5:$B$1004,"&lt;&gt;Dividendo")+IF(Impostazioni!$B$7&lt;=EOMONTH(A93,0),SUM(Calcoli!$D$7:$D$21),0))</f>
        <v/>
      </c>
      <c r="D93" s="138" t="str">
        <f>IF(OR(A93="",B93=""),"",B93-C93)</f>
        <v/>
      </c>
    </row>
    <row r="94">
      <c r="A94" s="136" t="n"/>
      <c r="B94" s="137" t="n"/>
      <c r="C94" s="124" t="str">
        <f>IF(A94="","",-SUMIFS(Movimenti!$L$5:$L$1004,Movimenti!$A$5:$A$1004,"&lt;="&amp;EOMONTH(A94,0),Movimenti!$B$5:$B$1004,"&lt;&gt;Dividendo")+IF(Impostazioni!$B$7&lt;=EOMONTH(A94,0),SUM(Calcoli!$D$7:$D$21),0))</f>
        <v/>
      </c>
      <c r="D94" s="138" t="str">
        <f>IF(OR(A94="",B94=""),"",B94-C94)</f>
        <v/>
      </c>
    </row>
    <row r="95">
      <c r="A95" s="136" t="n"/>
      <c r="B95" s="137" t="n"/>
      <c r="C95" s="124" t="str">
        <f>IF(A95="","",-SUMIFS(Movimenti!$L$5:$L$1004,Movimenti!$A$5:$A$1004,"&lt;="&amp;EOMONTH(A95,0),Movimenti!$B$5:$B$1004,"&lt;&gt;Dividendo")+IF(Impostazioni!$B$7&lt;=EOMONTH(A95,0),SUM(Calcoli!$D$7:$D$21),0))</f>
        <v/>
      </c>
      <c r="D95" s="138" t="str">
        <f>IF(OR(A95="",B95=""),"",B95-C95)</f>
        <v/>
      </c>
    </row>
    <row r="96">
      <c r="A96" s="136" t="n"/>
      <c r="B96" s="137" t="n"/>
      <c r="C96" s="124" t="str">
        <f>IF(A96="","",-SUMIFS(Movimenti!$L$5:$L$1004,Movimenti!$A$5:$A$1004,"&lt;="&amp;EOMONTH(A96,0),Movimenti!$B$5:$B$1004,"&lt;&gt;Dividendo")+IF(Impostazioni!$B$7&lt;=EOMONTH(A96,0),SUM(Calcoli!$D$7:$D$21),0))</f>
        <v/>
      </c>
      <c r="D96" s="138" t="str">
        <f>IF(OR(A96="",B96=""),"",B96-C96)</f>
        <v/>
      </c>
    </row>
    <row r="97">
      <c r="A97" s="136" t="n"/>
      <c r="B97" s="137" t="n"/>
      <c r="C97" s="124" t="str">
        <f>IF(A97="","",-SUMIFS(Movimenti!$L$5:$L$1004,Movimenti!$A$5:$A$1004,"&lt;="&amp;EOMONTH(A97,0),Movimenti!$B$5:$B$1004,"&lt;&gt;Dividendo")+IF(Impostazioni!$B$7&lt;=EOMONTH(A97,0),SUM(Calcoli!$D$7:$D$21),0))</f>
        <v/>
      </c>
      <c r="D97" s="138" t="str">
        <f>IF(OR(A97="",B97=""),"",B97-C97)</f>
        <v/>
      </c>
    </row>
    <row r="98">
      <c r="A98" s="136" t="n"/>
      <c r="B98" s="137" t="n"/>
      <c r="C98" s="124" t="str">
        <f>IF(A98="","",-SUMIFS(Movimenti!$L$5:$L$1004,Movimenti!$A$5:$A$1004,"&lt;="&amp;EOMONTH(A98,0),Movimenti!$B$5:$B$1004,"&lt;&gt;Dividendo")+IF(Impostazioni!$B$7&lt;=EOMONTH(A98,0),SUM(Calcoli!$D$7:$D$21),0))</f>
        <v/>
      </c>
      <c r="D98" s="138" t="str">
        <f>IF(OR(A98="",B98=""),"",B98-C98)</f>
        <v/>
      </c>
    </row>
    <row r="99">
      <c r="A99" s="136" t="n"/>
      <c r="B99" s="137" t="n"/>
      <c r="C99" s="124" t="str">
        <f>IF(A99="","",-SUMIFS(Movimenti!$L$5:$L$1004,Movimenti!$A$5:$A$1004,"&lt;="&amp;EOMONTH(A99,0),Movimenti!$B$5:$B$1004,"&lt;&gt;Dividendo")+IF(Impostazioni!$B$7&lt;=EOMONTH(A99,0),SUM(Calcoli!$D$7:$D$21),0))</f>
        <v/>
      </c>
      <c r="D99" s="138" t="str">
        <f>IF(OR(A99="",B99=""),"",B99-C99)</f>
        <v/>
      </c>
    </row>
    <row r="100">
      <c r="A100" s="136" t="n"/>
      <c r="B100" s="137" t="n"/>
      <c r="C100" s="124" t="str">
        <f>IF(A100="","",-SUMIFS(Movimenti!$L$5:$L$1004,Movimenti!$A$5:$A$1004,"&lt;="&amp;EOMONTH(A100,0),Movimenti!$B$5:$B$1004,"&lt;&gt;Dividendo")+IF(Impostazioni!$B$7&lt;=EOMONTH(A100,0),SUM(Calcoli!$D$7:$D$21),0))</f>
        <v/>
      </c>
      <c r="D100" s="138" t="str">
        <f>IF(OR(A100="",B100=""),"",B100-C100)</f>
        <v/>
      </c>
    </row>
    <row r="101">
      <c r="A101" s="136" t="n"/>
      <c r="B101" s="137" t="n"/>
      <c r="C101" s="124" t="str">
        <f>IF(A101="","",-SUMIFS(Movimenti!$L$5:$L$1004,Movimenti!$A$5:$A$1004,"&lt;="&amp;EOMONTH(A101,0),Movimenti!$B$5:$B$1004,"&lt;&gt;Dividendo")+IF(Impostazioni!$B$7&lt;=EOMONTH(A101,0),SUM(Calcoli!$D$7:$D$21),0))</f>
        <v/>
      </c>
      <c r="D101" s="138" t="str">
        <f>IF(OR(A101="",B101=""),"",B101-C101)</f>
        <v/>
      </c>
    </row>
    <row r="102">
      <c r="A102" s="136" t="n"/>
      <c r="B102" s="137" t="n"/>
      <c r="C102" s="124" t="str">
        <f>IF(A102="","",-SUMIFS(Movimenti!$L$5:$L$1004,Movimenti!$A$5:$A$1004,"&lt;="&amp;EOMONTH(A102,0),Movimenti!$B$5:$B$1004,"&lt;&gt;Dividendo")+IF(Impostazioni!$B$7&lt;=EOMONTH(A102,0),SUM(Calcoli!$D$7:$D$21),0))</f>
        <v/>
      </c>
      <c r="D102" s="138" t="str">
        <f>IF(OR(A102="",B102=""),"",B102-C102)</f>
        <v/>
      </c>
    </row>
    <row r="103">
      <c r="A103" s="136" t="n"/>
      <c r="B103" s="137" t="n"/>
      <c r="C103" s="124" t="str">
        <f>IF(A103="","",-SUMIFS(Movimenti!$L$5:$L$1004,Movimenti!$A$5:$A$1004,"&lt;="&amp;EOMONTH(A103,0),Movimenti!$B$5:$B$1004,"&lt;&gt;Dividendo")+IF(Impostazioni!$B$7&lt;=EOMONTH(A103,0),SUM(Calcoli!$D$7:$D$21),0))</f>
        <v/>
      </c>
      <c r="D103" s="138" t="str">
        <f>IF(OR(A103="",B103=""),"",B103-C103)</f>
        <v/>
      </c>
    </row>
    <row r="104">
      <c r="A104" s="136" t="n"/>
      <c r="B104" s="137" t="n"/>
      <c r="C104" s="124" t="str">
        <f>IF(A104="","",-SUMIFS(Movimenti!$L$5:$L$1004,Movimenti!$A$5:$A$1004,"&lt;="&amp;EOMONTH(A104,0),Movimenti!$B$5:$B$1004,"&lt;&gt;Dividendo")+IF(Impostazioni!$B$7&lt;=EOMONTH(A104,0),SUM(Calcoli!$D$7:$D$21),0))</f>
        <v/>
      </c>
      <c r="D104" s="138" t="str">
        <f>IF(OR(A104="",B104=""),"",B104-C104)</f>
        <v/>
      </c>
    </row>
    <row r="105">
      <c r="A105" s="136" t="n"/>
      <c r="B105" s="137" t="n"/>
      <c r="C105" s="124" t="str">
        <f>IF(A105="","",-SUMIFS(Movimenti!$L$5:$L$1004,Movimenti!$A$5:$A$1004,"&lt;="&amp;EOMONTH(A105,0),Movimenti!$B$5:$B$1004,"&lt;&gt;Dividendo")+IF(Impostazioni!$B$7&lt;=EOMONTH(A105,0),SUM(Calcoli!$D$7:$D$21),0))</f>
        <v/>
      </c>
      <c r="D105" s="138" t="str">
        <f>IF(OR(A105="",B105=""),"",B105-C105)</f>
        <v/>
      </c>
    </row>
    <row r="106">
      <c r="A106" s="136" t="n"/>
      <c r="B106" s="137" t="n"/>
      <c r="C106" s="124" t="str">
        <f>IF(A106="","",-SUMIFS(Movimenti!$L$5:$L$1004,Movimenti!$A$5:$A$1004,"&lt;="&amp;EOMONTH(A106,0),Movimenti!$B$5:$B$1004,"&lt;&gt;Dividendo")+IF(Impostazioni!$B$7&lt;=EOMONTH(A106,0),SUM(Calcoli!$D$7:$D$21),0))</f>
        <v/>
      </c>
      <c r="D106" s="138" t="str">
        <f>IF(OR(A106="",B106=""),"",B106-C106)</f>
        <v/>
      </c>
    </row>
    <row r="107">
      <c r="A107" s="136" t="n"/>
      <c r="B107" s="137" t="n"/>
      <c r="C107" s="124" t="str">
        <f>IF(A107="","",-SUMIFS(Movimenti!$L$5:$L$1004,Movimenti!$A$5:$A$1004,"&lt;="&amp;EOMONTH(A107,0),Movimenti!$B$5:$B$1004,"&lt;&gt;Dividendo")+IF(Impostazioni!$B$7&lt;=EOMONTH(A107,0),SUM(Calcoli!$D$7:$D$21),0))</f>
        <v/>
      </c>
      <c r="D107" s="138" t="str">
        <f>IF(OR(A107="",B107=""),"",B107-C107)</f>
        <v/>
      </c>
    </row>
    <row r="108">
      <c r="A108" s="136" t="n"/>
      <c r="B108" s="137" t="n"/>
      <c r="C108" s="124" t="str">
        <f>IF(A108="","",-SUMIFS(Movimenti!$L$5:$L$1004,Movimenti!$A$5:$A$1004,"&lt;="&amp;EOMONTH(A108,0),Movimenti!$B$5:$B$1004,"&lt;&gt;Dividendo")+IF(Impostazioni!$B$7&lt;=EOMONTH(A108,0),SUM(Calcoli!$D$7:$D$21),0))</f>
        <v/>
      </c>
      <c r="D108" s="138" t="str">
        <f>IF(OR(A108="",B108=""),"",B108-C108)</f>
        <v/>
      </c>
    </row>
    <row r="109">
      <c r="A109" s="136" t="n"/>
      <c r="B109" s="137" t="n"/>
      <c r="C109" s="124" t="str">
        <f>IF(A109="","",-SUMIFS(Movimenti!$L$5:$L$1004,Movimenti!$A$5:$A$1004,"&lt;="&amp;EOMONTH(A109,0),Movimenti!$B$5:$B$1004,"&lt;&gt;Dividendo")+IF(Impostazioni!$B$7&lt;=EOMONTH(A109,0),SUM(Calcoli!$D$7:$D$21),0))</f>
        <v/>
      </c>
      <c r="D109" s="138" t="str">
        <f>IF(OR(A109="",B109=""),"",B109-C109)</f>
        <v/>
      </c>
    </row>
    <row r="110">
      <c r="A110" s="136" t="n"/>
      <c r="B110" s="137" t="n"/>
      <c r="C110" s="124" t="str">
        <f>IF(A110="","",-SUMIFS(Movimenti!$L$5:$L$1004,Movimenti!$A$5:$A$1004,"&lt;="&amp;EOMONTH(A110,0),Movimenti!$B$5:$B$1004,"&lt;&gt;Dividendo")+IF(Impostazioni!$B$7&lt;=EOMONTH(A110,0),SUM(Calcoli!$D$7:$D$21),0))</f>
        <v/>
      </c>
      <c r="D110" s="138" t="str">
        <f>IF(OR(A110="",B110=""),"",B110-C110)</f>
        <v/>
      </c>
    </row>
    <row r="111">
      <c r="A111" s="136" t="n"/>
      <c r="B111" s="137" t="n"/>
      <c r="C111" s="124" t="str">
        <f>IF(A111="","",-SUMIFS(Movimenti!$L$5:$L$1004,Movimenti!$A$5:$A$1004,"&lt;="&amp;EOMONTH(A111,0),Movimenti!$B$5:$B$1004,"&lt;&gt;Dividendo")+IF(Impostazioni!$B$7&lt;=EOMONTH(A111,0),SUM(Calcoli!$D$7:$D$21),0))</f>
        <v/>
      </c>
      <c r="D111" s="138" t="str">
        <f>IF(OR(A111="",B111=""),"",B111-C111)</f>
        <v/>
      </c>
    </row>
    <row r="112">
      <c r="A112" s="136" t="n"/>
      <c r="B112" s="137" t="n"/>
      <c r="C112" s="124" t="str">
        <f>IF(A112="","",-SUMIFS(Movimenti!$L$5:$L$1004,Movimenti!$A$5:$A$1004,"&lt;="&amp;EOMONTH(A112,0),Movimenti!$B$5:$B$1004,"&lt;&gt;Dividendo")+IF(Impostazioni!$B$7&lt;=EOMONTH(A112,0),SUM(Calcoli!$D$7:$D$21),0))</f>
        <v/>
      </c>
      <c r="D112" s="138" t="str">
        <f>IF(OR(A112="",B112=""),"",B112-C112)</f>
        <v/>
      </c>
    </row>
    <row r="113">
      <c r="A113" s="136" t="n"/>
      <c r="B113" s="137" t="n"/>
      <c r="C113" s="124" t="str">
        <f>IF(A113="","",-SUMIFS(Movimenti!$L$5:$L$1004,Movimenti!$A$5:$A$1004,"&lt;="&amp;EOMONTH(A113,0),Movimenti!$B$5:$B$1004,"&lt;&gt;Dividendo")+IF(Impostazioni!$B$7&lt;=EOMONTH(A113,0),SUM(Calcoli!$D$7:$D$21),0))</f>
        <v/>
      </c>
      <c r="D113" s="138" t="str">
        <f>IF(OR(A113="",B113=""),"",B113-C113)</f>
        <v/>
      </c>
    </row>
    <row r="114">
      <c r="A114" s="136" t="n"/>
      <c r="B114" s="137" t="n"/>
      <c r="C114" s="124" t="str">
        <f>IF(A114="","",-SUMIFS(Movimenti!$L$5:$L$1004,Movimenti!$A$5:$A$1004,"&lt;="&amp;EOMONTH(A114,0),Movimenti!$B$5:$B$1004,"&lt;&gt;Dividendo")+IF(Impostazioni!$B$7&lt;=EOMONTH(A114,0),SUM(Calcoli!$D$7:$D$21),0))</f>
        <v/>
      </c>
      <c r="D114" s="138" t="str">
        <f>IF(OR(A114="",B114=""),"",B114-C114)</f>
        <v/>
      </c>
    </row>
    <row r="115">
      <c r="A115" s="136" t="n"/>
      <c r="B115" s="137" t="n"/>
      <c r="C115" s="124" t="str">
        <f>IF(A115="","",-SUMIFS(Movimenti!$L$5:$L$1004,Movimenti!$A$5:$A$1004,"&lt;="&amp;EOMONTH(A115,0),Movimenti!$B$5:$B$1004,"&lt;&gt;Dividendo")+IF(Impostazioni!$B$7&lt;=EOMONTH(A115,0),SUM(Calcoli!$D$7:$D$21),0))</f>
        <v/>
      </c>
      <c r="D115" s="138" t="str">
        <f>IF(OR(A115="",B115=""),"",B115-C115)</f>
        <v/>
      </c>
    </row>
    <row r="116">
      <c r="A116" s="136" t="n"/>
      <c r="B116" s="137" t="n"/>
      <c r="C116" s="124" t="str">
        <f>IF(A116="","",-SUMIFS(Movimenti!$L$5:$L$1004,Movimenti!$A$5:$A$1004,"&lt;="&amp;EOMONTH(A116,0),Movimenti!$B$5:$B$1004,"&lt;&gt;Dividendo")+IF(Impostazioni!$B$7&lt;=EOMONTH(A116,0),SUM(Calcoli!$D$7:$D$21),0))</f>
        <v/>
      </c>
      <c r="D116" s="138" t="str">
        <f>IF(OR(A116="",B116=""),"",B116-C116)</f>
        <v/>
      </c>
    </row>
    <row r="117">
      <c r="A117" s="136" t="n"/>
      <c r="B117" s="137" t="n"/>
      <c r="C117" s="124" t="str">
        <f>IF(A117="","",-SUMIFS(Movimenti!$L$5:$L$1004,Movimenti!$A$5:$A$1004,"&lt;="&amp;EOMONTH(A117,0),Movimenti!$B$5:$B$1004,"&lt;&gt;Dividendo")+IF(Impostazioni!$B$7&lt;=EOMONTH(A117,0),SUM(Calcoli!$D$7:$D$21),0))</f>
        <v/>
      </c>
      <c r="D117" s="138" t="str">
        <f>IF(OR(A117="",B117=""),"",B117-C117)</f>
        <v/>
      </c>
    </row>
    <row r="118">
      <c r="A118" s="136" t="n"/>
      <c r="B118" s="137" t="n"/>
      <c r="C118" s="124" t="str">
        <f>IF(A118="","",-SUMIFS(Movimenti!$L$5:$L$1004,Movimenti!$A$5:$A$1004,"&lt;="&amp;EOMONTH(A118,0),Movimenti!$B$5:$B$1004,"&lt;&gt;Dividendo")+IF(Impostazioni!$B$7&lt;=EOMONTH(A118,0),SUM(Calcoli!$D$7:$D$21),0))</f>
        <v/>
      </c>
      <c r="D118" s="138" t="str">
        <f>IF(OR(A118="",B118=""),"",B118-C118)</f>
        <v/>
      </c>
    </row>
    <row r="119">
      <c r="A119" s="136" t="n"/>
      <c r="B119" s="137" t="n"/>
      <c r="C119" s="124" t="str">
        <f>IF(A119="","",-SUMIFS(Movimenti!$L$5:$L$1004,Movimenti!$A$5:$A$1004,"&lt;="&amp;EOMONTH(A119,0),Movimenti!$B$5:$B$1004,"&lt;&gt;Dividendo")+IF(Impostazioni!$B$7&lt;=EOMONTH(A119,0),SUM(Calcoli!$D$7:$D$21),0))</f>
        <v/>
      </c>
      <c r="D119" s="138" t="str">
        <f>IF(OR(A119="",B119=""),"",B119-C119)</f>
        <v/>
      </c>
    </row>
    <row r="120">
      <c r="A120" s="136" t="n"/>
      <c r="B120" s="137" t="n"/>
      <c r="C120" s="124" t="str">
        <f>IF(A120="","",-SUMIFS(Movimenti!$L$5:$L$1004,Movimenti!$A$5:$A$1004,"&lt;="&amp;EOMONTH(A120,0),Movimenti!$B$5:$B$1004,"&lt;&gt;Dividendo")+IF(Impostazioni!$B$7&lt;=EOMONTH(A120,0),SUM(Calcoli!$D$7:$D$21),0))</f>
        <v/>
      </c>
      <c r="D120" s="138" t="str">
        <f>IF(OR(A120="",B120=""),"",B120-C120)</f>
        <v/>
      </c>
    </row>
    <row r="121">
      <c r="A121" s="136" t="n"/>
      <c r="B121" s="137" t="n"/>
      <c r="C121" s="124" t="str">
        <f>IF(A121="","",-SUMIFS(Movimenti!$L$5:$L$1004,Movimenti!$A$5:$A$1004,"&lt;="&amp;EOMONTH(A121,0),Movimenti!$B$5:$B$1004,"&lt;&gt;Dividendo")+IF(Impostazioni!$B$7&lt;=EOMONTH(A121,0),SUM(Calcoli!$D$7:$D$21),0))</f>
        <v/>
      </c>
      <c r="D121" s="138" t="str">
        <f>IF(OR(A121="",B121=""),"",B121-C121)</f>
        <v/>
      </c>
    </row>
    <row r="122">
      <c r="A122" s="136" t="n"/>
      <c r="B122" s="137" t="n"/>
      <c r="C122" s="124" t="str">
        <f>IF(A122="","",-SUMIFS(Movimenti!$L$5:$L$1004,Movimenti!$A$5:$A$1004,"&lt;="&amp;EOMONTH(A122,0),Movimenti!$B$5:$B$1004,"&lt;&gt;Dividendo")+IF(Impostazioni!$B$7&lt;=EOMONTH(A122,0),SUM(Calcoli!$D$7:$D$21),0))</f>
        <v/>
      </c>
      <c r="D122" s="138" t="str">
        <f>IF(OR(A122="",B122=""),"",B122-C122)</f>
        <v/>
      </c>
    </row>
    <row r="123">
      <c r="A123" s="136" t="n"/>
      <c r="B123" s="137" t="n"/>
      <c r="C123" s="124" t="str">
        <f>IF(A123="","",-SUMIFS(Movimenti!$L$5:$L$1004,Movimenti!$A$5:$A$1004,"&lt;="&amp;EOMONTH(A123,0),Movimenti!$B$5:$B$1004,"&lt;&gt;Dividendo")+IF(Impostazioni!$B$7&lt;=EOMONTH(A123,0),SUM(Calcoli!$D$7:$D$21),0))</f>
        <v/>
      </c>
      <c r="D123" s="138" t="str">
        <f>IF(OR(A123="",B123=""),"",B123-C123)</f>
        <v/>
      </c>
    </row>
    <row r="124">
      <c r="A124" s="136" t="n"/>
      <c r="B124" s="137" t="n"/>
      <c r="C124" s="124" t="str">
        <f>IF(A124="","",-SUMIFS(Movimenti!$L$5:$L$1004,Movimenti!$A$5:$A$1004,"&lt;="&amp;EOMONTH(A124,0),Movimenti!$B$5:$B$1004,"&lt;&gt;Dividendo")+IF(Impostazioni!$B$7&lt;=EOMONTH(A124,0),SUM(Calcoli!$D$7:$D$21),0))</f>
        <v/>
      </c>
      <c r="D124" s="138" t="str">
        <f>IF(OR(A124="",B124=""),"",B124-C124)</f>
        <v/>
      </c>
    </row>
    <row r="125">
      <c r="A125" s="136" t="n"/>
      <c r="B125" s="137" t="n"/>
      <c r="C125" s="124" t="str">
        <f>IF(A125="","",-SUMIFS(Movimenti!$L$5:$L$1004,Movimenti!$A$5:$A$1004,"&lt;="&amp;EOMONTH(A125,0),Movimenti!$B$5:$B$1004,"&lt;&gt;Dividendo")+IF(Impostazioni!$B$7&lt;=EOMONTH(A125,0),SUM(Calcoli!$D$7:$D$21),0))</f>
        <v/>
      </c>
      <c r="D125" s="138" t="str">
        <f>IF(OR(A125="",B125=""),"",B125-C125)</f>
        <v/>
      </c>
    </row>
    <row r="126">
      <c r="A126" s="136" t="n"/>
      <c r="B126" s="137" t="n"/>
      <c r="C126" s="124" t="str">
        <f>IF(A126="","",-SUMIFS(Movimenti!$L$5:$L$1004,Movimenti!$A$5:$A$1004,"&lt;="&amp;EOMONTH(A126,0),Movimenti!$B$5:$B$1004,"&lt;&gt;Dividendo")+IF(Impostazioni!$B$7&lt;=EOMONTH(A126,0),SUM(Calcoli!$D$7:$D$21),0))</f>
        <v/>
      </c>
      <c r="D126" s="138" t="str">
        <f>IF(OR(A126="",B126=""),"",B126-C126)</f>
        <v/>
      </c>
    </row>
    <row r="127">
      <c r="A127" s="136" t="n"/>
      <c r="B127" s="137" t="n"/>
      <c r="C127" s="124" t="str">
        <f>IF(A127="","",-SUMIFS(Movimenti!$L$5:$L$1004,Movimenti!$A$5:$A$1004,"&lt;="&amp;EOMONTH(A127,0),Movimenti!$B$5:$B$1004,"&lt;&gt;Dividendo")+IF(Impostazioni!$B$7&lt;=EOMONTH(A127,0),SUM(Calcoli!$D$7:$D$21),0))</f>
        <v/>
      </c>
      <c r="D127" s="138" t="str">
        <f>IF(OR(A127="",B127=""),"",B127-C127)</f>
        <v/>
      </c>
    </row>
    <row r="128">
      <c r="A128" s="136" t="n"/>
      <c r="B128" s="137" t="n"/>
      <c r="C128" s="124" t="str">
        <f>IF(A128="","",-SUMIFS(Movimenti!$L$5:$L$1004,Movimenti!$A$5:$A$1004,"&lt;="&amp;EOMONTH(A128,0),Movimenti!$B$5:$B$1004,"&lt;&gt;Dividendo")+IF(Impostazioni!$B$7&lt;=EOMONTH(A128,0),SUM(Calcoli!$D$7:$D$21),0))</f>
        <v/>
      </c>
      <c r="D128" s="138" t="str">
        <f>IF(OR(A128="",B128=""),"",B128-C128)</f>
        <v/>
      </c>
    </row>
    <row r="129">
      <c r="A129" s="136" t="n"/>
      <c r="B129" s="137" t="n"/>
      <c r="C129" s="124" t="str">
        <f>IF(A129="","",-SUMIFS(Movimenti!$L$5:$L$1004,Movimenti!$A$5:$A$1004,"&lt;="&amp;EOMONTH(A129,0),Movimenti!$B$5:$B$1004,"&lt;&gt;Dividendo")+IF(Impostazioni!$B$7&lt;=EOMONTH(A129,0),SUM(Calcoli!$D$7:$D$21),0))</f>
        <v/>
      </c>
      <c r="D129" s="138" t="str">
        <f>IF(OR(A129="",B129=""),"",B129-C129)</f>
        <v/>
      </c>
    </row>
    <row r="130">
      <c r="A130" s="136" t="n"/>
      <c r="B130" s="137" t="n"/>
      <c r="C130" s="124" t="str">
        <f>IF(A130="","",-SUMIFS(Movimenti!$L$5:$L$1004,Movimenti!$A$5:$A$1004,"&lt;="&amp;EOMONTH(A130,0),Movimenti!$B$5:$B$1004,"&lt;&gt;Dividendo")+IF(Impostazioni!$B$7&lt;=EOMONTH(A130,0),SUM(Calcoli!$D$7:$D$21),0))</f>
        <v/>
      </c>
      <c r="D130" s="138" t="str">
        <f>IF(OR(A130="",B130=""),"",B130-C130)</f>
        <v/>
      </c>
    </row>
    <row r="131">
      <c r="A131" s="136" t="n"/>
      <c r="B131" s="137" t="n"/>
      <c r="C131" s="124" t="str">
        <f>IF(A131="","",-SUMIFS(Movimenti!$L$5:$L$1004,Movimenti!$A$5:$A$1004,"&lt;="&amp;EOMONTH(A131,0),Movimenti!$B$5:$B$1004,"&lt;&gt;Dividendo")+IF(Impostazioni!$B$7&lt;=EOMONTH(A131,0),SUM(Calcoli!$D$7:$D$21),0))</f>
        <v/>
      </c>
      <c r="D131" s="138" t="str">
        <f>IF(OR(A131="",B131=""),"",B131-C131)</f>
        <v/>
      </c>
    </row>
    <row r="132">
      <c r="A132" s="136" t="n"/>
      <c r="B132" s="137" t="n"/>
      <c r="C132" s="124" t="str">
        <f>IF(A132="","",-SUMIFS(Movimenti!$L$5:$L$1004,Movimenti!$A$5:$A$1004,"&lt;="&amp;EOMONTH(A132,0),Movimenti!$B$5:$B$1004,"&lt;&gt;Dividendo")+IF(Impostazioni!$B$7&lt;=EOMONTH(A132,0),SUM(Calcoli!$D$7:$D$21),0))</f>
        <v/>
      </c>
      <c r="D132" s="138" t="str">
        <f>IF(OR(A132="",B132=""),"",B132-C132)</f>
        <v/>
      </c>
    </row>
    <row r="133">
      <c r="A133" s="136" t="n"/>
      <c r="B133" s="137" t="n"/>
      <c r="C133" s="124" t="str">
        <f>IF(A133="","",-SUMIFS(Movimenti!$L$5:$L$1004,Movimenti!$A$5:$A$1004,"&lt;="&amp;EOMONTH(A133,0),Movimenti!$B$5:$B$1004,"&lt;&gt;Dividendo")+IF(Impostazioni!$B$7&lt;=EOMONTH(A133,0),SUM(Calcoli!$D$7:$D$21),0))</f>
        <v/>
      </c>
      <c r="D133" s="138" t="str">
        <f>IF(OR(A133="",B133=""),"",B133-C133)</f>
        <v/>
      </c>
    </row>
    <row r="134">
      <c r="A134" s="136" t="n"/>
      <c r="B134" s="137" t="n"/>
      <c r="C134" s="124" t="str">
        <f>IF(A134="","",-SUMIFS(Movimenti!$L$5:$L$1004,Movimenti!$A$5:$A$1004,"&lt;="&amp;EOMONTH(A134,0),Movimenti!$B$5:$B$1004,"&lt;&gt;Dividendo")+IF(Impostazioni!$B$7&lt;=EOMONTH(A134,0),SUM(Calcoli!$D$7:$D$21),0))</f>
        <v/>
      </c>
      <c r="D134" s="138" t="str">
        <f>IF(OR(A134="",B134=""),"",B134-C134)</f>
        <v/>
      </c>
    </row>
    <row r="135">
      <c r="A135" s="136" t="n"/>
      <c r="B135" s="137" t="n"/>
      <c r="C135" s="124" t="str">
        <f>IF(A135="","",-SUMIFS(Movimenti!$L$5:$L$1004,Movimenti!$A$5:$A$1004,"&lt;="&amp;EOMONTH(A135,0),Movimenti!$B$5:$B$1004,"&lt;&gt;Dividendo")+IF(Impostazioni!$B$7&lt;=EOMONTH(A135,0),SUM(Calcoli!$D$7:$D$21),0))</f>
        <v/>
      </c>
      <c r="D135" s="138" t="str">
        <f>IF(OR(A135="",B135=""),"",B135-C135)</f>
        <v/>
      </c>
    </row>
    <row r="136">
      <c r="A136" s="136" t="n"/>
      <c r="B136" s="137" t="n"/>
      <c r="C136" s="124" t="str">
        <f>IF(A136="","",-SUMIFS(Movimenti!$L$5:$L$1004,Movimenti!$A$5:$A$1004,"&lt;="&amp;EOMONTH(A136,0),Movimenti!$B$5:$B$1004,"&lt;&gt;Dividendo")+IF(Impostazioni!$B$7&lt;=EOMONTH(A136,0),SUM(Calcoli!$D$7:$D$21),0))</f>
        <v/>
      </c>
      <c r="D136" s="138" t="str">
        <f>IF(OR(A136="",B136=""),"",B136-C136)</f>
        <v/>
      </c>
    </row>
    <row r="137">
      <c r="A137" s="136" t="n"/>
      <c r="B137" s="137" t="n"/>
      <c r="C137" s="124" t="str">
        <f>IF(A137="","",-SUMIFS(Movimenti!$L$5:$L$1004,Movimenti!$A$5:$A$1004,"&lt;="&amp;EOMONTH(A137,0),Movimenti!$B$5:$B$1004,"&lt;&gt;Dividendo")+IF(Impostazioni!$B$7&lt;=EOMONTH(A137,0),SUM(Calcoli!$D$7:$D$21),0))</f>
        <v/>
      </c>
      <c r="D137" s="138" t="str">
        <f>IF(OR(A137="",B137=""),"",B137-C137)</f>
        <v/>
      </c>
    </row>
    <row r="138">
      <c r="A138" s="136" t="n"/>
      <c r="B138" s="137" t="n"/>
      <c r="C138" s="124" t="str">
        <f>IF(A138="","",-SUMIFS(Movimenti!$L$5:$L$1004,Movimenti!$A$5:$A$1004,"&lt;="&amp;EOMONTH(A138,0),Movimenti!$B$5:$B$1004,"&lt;&gt;Dividendo")+IF(Impostazioni!$B$7&lt;=EOMONTH(A138,0),SUM(Calcoli!$D$7:$D$21),0))</f>
        <v/>
      </c>
      <c r="D138" s="138" t="str">
        <f>IF(OR(A138="",B138=""),"",B138-C138)</f>
        <v/>
      </c>
    </row>
    <row r="139">
      <c r="A139" s="136" t="n"/>
      <c r="B139" s="137" t="n"/>
      <c r="C139" s="124" t="str">
        <f>IF(A139="","",-SUMIFS(Movimenti!$L$5:$L$1004,Movimenti!$A$5:$A$1004,"&lt;="&amp;EOMONTH(A139,0),Movimenti!$B$5:$B$1004,"&lt;&gt;Dividendo")+IF(Impostazioni!$B$7&lt;=EOMONTH(A139,0),SUM(Calcoli!$D$7:$D$21),0))</f>
        <v/>
      </c>
      <c r="D139" s="138" t="str">
        <f>IF(OR(A139="",B139=""),"",B139-C139)</f>
        <v/>
      </c>
    </row>
    <row r="140">
      <c r="A140" s="136" t="n"/>
      <c r="B140" s="137" t="n"/>
      <c r="C140" s="124" t="str">
        <f>IF(A140="","",-SUMIFS(Movimenti!$L$5:$L$1004,Movimenti!$A$5:$A$1004,"&lt;="&amp;EOMONTH(A140,0),Movimenti!$B$5:$B$1004,"&lt;&gt;Dividendo")+IF(Impostazioni!$B$7&lt;=EOMONTH(A140,0),SUM(Calcoli!$D$7:$D$21),0))</f>
        <v/>
      </c>
      <c r="D140" s="138" t="str">
        <f>IF(OR(A140="",B140=""),"",B140-C140)</f>
        <v/>
      </c>
    </row>
    <row r="141">
      <c r="A141" s="136" t="n"/>
      <c r="B141" s="137" t="n"/>
      <c r="C141" s="124" t="str">
        <f>IF(A141="","",-SUMIFS(Movimenti!$L$5:$L$1004,Movimenti!$A$5:$A$1004,"&lt;="&amp;EOMONTH(A141,0),Movimenti!$B$5:$B$1004,"&lt;&gt;Dividendo")+IF(Impostazioni!$B$7&lt;=EOMONTH(A141,0),SUM(Calcoli!$D$7:$D$21),0))</f>
        <v/>
      </c>
      <c r="D141" s="138" t="str">
        <f>IF(OR(A141="",B141=""),"",B141-C141)</f>
        <v/>
      </c>
    </row>
    <row r="142">
      <c r="A142" s="136" t="n"/>
      <c r="B142" s="137" t="n"/>
      <c r="C142" s="124" t="str">
        <f>IF(A142="","",-SUMIFS(Movimenti!$L$5:$L$1004,Movimenti!$A$5:$A$1004,"&lt;="&amp;EOMONTH(A142,0),Movimenti!$B$5:$B$1004,"&lt;&gt;Dividendo")+IF(Impostazioni!$B$7&lt;=EOMONTH(A142,0),SUM(Calcoli!$D$7:$D$21),0))</f>
        <v/>
      </c>
      <c r="D142" s="138" t="str">
        <f>IF(OR(A142="",B142=""),"",B142-C142)</f>
        <v/>
      </c>
    </row>
    <row r="143">
      <c r="A143" s="136" t="n"/>
      <c r="B143" s="137" t="n"/>
      <c r="C143" s="124" t="str">
        <f>IF(A143="","",-SUMIFS(Movimenti!$L$5:$L$1004,Movimenti!$A$5:$A$1004,"&lt;="&amp;EOMONTH(A143,0),Movimenti!$B$5:$B$1004,"&lt;&gt;Dividendo")+IF(Impostazioni!$B$7&lt;=EOMONTH(A143,0),SUM(Calcoli!$D$7:$D$21),0))</f>
        <v/>
      </c>
      <c r="D143" s="138" t="str">
        <f>IF(OR(A143="",B143=""),"",B143-C143)</f>
        <v/>
      </c>
    </row>
    <row r="144">
      <c r="A144" s="136" t="n"/>
      <c r="B144" s="137" t="n"/>
      <c r="C144" s="124" t="str">
        <f>IF(A144="","",-SUMIFS(Movimenti!$L$5:$L$1004,Movimenti!$A$5:$A$1004,"&lt;="&amp;EOMONTH(A144,0),Movimenti!$B$5:$B$1004,"&lt;&gt;Dividendo")+IF(Impostazioni!$B$7&lt;=EOMONTH(A144,0),SUM(Calcoli!$D$7:$D$21),0))</f>
        <v/>
      </c>
      <c r="D144" s="138" t="str">
        <f>IF(OR(A144="",B144=""),"",B144-C144)</f>
        <v/>
      </c>
    </row>
    <row r="145">
      <c r="A145" s="136" t="n"/>
      <c r="B145" s="137" t="n"/>
      <c r="C145" s="124" t="str">
        <f>IF(A145="","",-SUMIFS(Movimenti!$L$5:$L$1004,Movimenti!$A$5:$A$1004,"&lt;="&amp;EOMONTH(A145,0),Movimenti!$B$5:$B$1004,"&lt;&gt;Dividendo")+IF(Impostazioni!$B$7&lt;=EOMONTH(A145,0),SUM(Calcoli!$D$7:$D$21),0))</f>
        <v/>
      </c>
      <c r="D145" s="138" t="str">
        <f>IF(OR(A145="",B145=""),"",B145-C145)</f>
        <v/>
      </c>
    </row>
    <row r="146">
      <c r="A146" s="136" t="n"/>
      <c r="B146" s="137" t="n"/>
      <c r="C146" s="124" t="str">
        <f>IF(A146="","",-SUMIFS(Movimenti!$L$5:$L$1004,Movimenti!$A$5:$A$1004,"&lt;="&amp;EOMONTH(A146,0),Movimenti!$B$5:$B$1004,"&lt;&gt;Dividendo")+IF(Impostazioni!$B$7&lt;=EOMONTH(A146,0),SUM(Calcoli!$D$7:$D$21),0))</f>
        <v/>
      </c>
      <c r="D146" s="138" t="str">
        <f>IF(OR(A146="",B146=""),"",B146-C146)</f>
        <v/>
      </c>
    </row>
    <row r="147">
      <c r="A147" s="136" t="n"/>
      <c r="B147" s="137" t="n"/>
      <c r="C147" s="124" t="str">
        <f>IF(A147="","",-SUMIFS(Movimenti!$L$5:$L$1004,Movimenti!$A$5:$A$1004,"&lt;="&amp;EOMONTH(A147,0),Movimenti!$B$5:$B$1004,"&lt;&gt;Dividendo")+IF(Impostazioni!$B$7&lt;=EOMONTH(A147,0),SUM(Calcoli!$D$7:$D$21),0))</f>
        <v/>
      </c>
      <c r="D147" s="138" t="str">
        <f>IF(OR(A147="",B147=""),"",B147-C147)</f>
        <v/>
      </c>
    </row>
    <row r="148">
      <c r="A148" s="136" t="n"/>
      <c r="B148" s="137" t="n"/>
      <c r="C148" s="124" t="str">
        <f>IF(A148="","",-SUMIFS(Movimenti!$L$5:$L$1004,Movimenti!$A$5:$A$1004,"&lt;="&amp;EOMONTH(A148,0),Movimenti!$B$5:$B$1004,"&lt;&gt;Dividendo")+IF(Impostazioni!$B$7&lt;=EOMONTH(A148,0),SUM(Calcoli!$D$7:$D$21),0))</f>
        <v/>
      </c>
      <c r="D148" s="138" t="str">
        <f>IF(OR(A148="",B148=""),"",B148-C148)</f>
        <v/>
      </c>
    </row>
    <row r="149">
      <c r="A149" s="136" t="n"/>
      <c r="B149" s="137" t="n"/>
      <c r="C149" s="124" t="str">
        <f>IF(A149="","",-SUMIFS(Movimenti!$L$5:$L$1004,Movimenti!$A$5:$A$1004,"&lt;="&amp;EOMONTH(A149,0),Movimenti!$B$5:$B$1004,"&lt;&gt;Dividendo")+IF(Impostazioni!$B$7&lt;=EOMONTH(A149,0),SUM(Calcoli!$D$7:$D$21),0))</f>
        <v/>
      </c>
      <c r="D149" s="138" t="str">
        <f>IF(OR(A149="",B149=""),"",B149-C149)</f>
        <v/>
      </c>
    </row>
    <row r="150">
      <c r="A150" s="136" t="n"/>
      <c r="B150" s="137" t="n"/>
      <c r="C150" s="124" t="str">
        <f>IF(A150="","",-SUMIFS(Movimenti!$L$5:$L$1004,Movimenti!$A$5:$A$1004,"&lt;="&amp;EOMONTH(A150,0),Movimenti!$B$5:$B$1004,"&lt;&gt;Dividendo")+IF(Impostazioni!$B$7&lt;=EOMONTH(A150,0),SUM(Calcoli!$D$7:$D$21),0))</f>
        <v/>
      </c>
      <c r="D150" s="138" t="str">
        <f>IF(OR(A150="",B150=""),"",B150-C150)</f>
        <v/>
      </c>
    </row>
    <row r="151">
      <c r="A151" s="136" t="n"/>
      <c r="B151" s="137" t="n"/>
      <c r="C151" s="124" t="str">
        <f>IF(A151="","",-SUMIFS(Movimenti!$L$5:$L$1004,Movimenti!$A$5:$A$1004,"&lt;="&amp;EOMONTH(A151,0),Movimenti!$B$5:$B$1004,"&lt;&gt;Dividendo")+IF(Impostazioni!$B$7&lt;=EOMONTH(A151,0),SUM(Calcoli!$D$7:$D$21),0))</f>
        <v/>
      </c>
      <c r="D151" s="138" t="str">
        <f>IF(OR(A151="",B151=""),"",B151-C151)</f>
        <v/>
      </c>
    </row>
    <row r="152">
      <c r="A152" s="136" t="n"/>
      <c r="B152" s="137" t="n"/>
      <c r="C152" s="124" t="str">
        <f>IF(A152="","",-SUMIFS(Movimenti!$L$5:$L$1004,Movimenti!$A$5:$A$1004,"&lt;="&amp;EOMONTH(A152,0),Movimenti!$B$5:$B$1004,"&lt;&gt;Dividendo")+IF(Impostazioni!$B$7&lt;=EOMONTH(A152,0),SUM(Calcoli!$D$7:$D$21),0))</f>
        <v/>
      </c>
      <c r="D152" s="138" t="str">
        <f>IF(OR(A152="",B152=""),"",B152-C152)</f>
        <v/>
      </c>
    </row>
    <row r="153">
      <c r="A153" s="136" t="n"/>
      <c r="B153" s="137" t="n"/>
      <c r="C153" s="124" t="str">
        <f>IF(A153="","",-SUMIFS(Movimenti!$L$5:$L$1004,Movimenti!$A$5:$A$1004,"&lt;="&amp;EOMONTH(A153,0),Movimenti!$B$5:$B$1004,"&lt;&gt;Dividendo")+IF(Impostazioni!$B$7&lt;=EOMONTH(A153,0),SUM(Calcoli!$D$7:$D$21),0))</f>
        <v/>
      </c>
      <c r="D153" s="138" t="str">
        <f>IF(OR(A153="",B153=""),"",B153-C153)</f>
        <v/>
      </c>
    </row>
    <row r="154">
      <c r="A154" s="136" t="n"/>
      <c r="B154" s="137" t="n"/>
      <c r="C154" s="124" t="str">
        <f>IF(A154="","",-SUMIFS(Movimenti!$L$5:$L$1004,Movimenti!$A$5:$A$1004,"&lt;="&amp;EOMONTH(A154,0),Movimenti!$B$5:$B$1004,"&lt;&gt;Dividendo")+IF(Impostazioni!$B$7&lt;=EOMONTH(A154,0),SUM(Calcoli!$D$7:$D$21),0))</f>
        <v/>
      </c>
      <c r="D154" s="138" t="str">
        <f>IF(OR(A154="",B154=""),"",B154-C154)</f>
        <v/>
      </c>
    </row>
    <row r="155">
      <c r="A155" s="136" t="n"/>
      <c r="B155" s="137" t="n"/>
      <c r="C155" s="124" t="str">
        <f>IF(A155="","",-SUMIFS(Movimenti!$L$5:$L$1004,Movimenti!$A$5:$A$1004,"&lt;="&amp;EOMONTH(A155,0),Movimenti!$B$5:$B$1004,"&lt;&gt;Dividendo")+IF(Impostazioni!$B$7&lt;=EOMONTH(A155,0),SUM(Calcoli!$D$7:$D$21),0))</f>
        <v/>
      </c>
      <c r="D155" s="138" t="str">
        <f>IF(OR(A155="",B155=""),"",B155-C155)</f>
        <v/>
      </c>
    </row>
    <row r="156">
      <c r="A156" s="136" t="n"/>
      <c r="B156" s="137" t="n"/>
      <c r="C156" s="124" t="str">
        <f>IF(A156="","",-SUMIFS(Movimenti!$L$5:$L$1004,Movimenti!$A$5:$A$1004,"&lt;="&amp;EOMONTH(A156,0),Movimenti!$B$5:$B$1004,"&lt;&gt;Dividendo")+IF(Impostazioni!$B$7&lt;=EOMONTH(A156,0),SUM(Calcoli!$D$7:$D$21),0))</f>
        <v/>
      </c>
      <c r="D156" s="138" t="str">
        <f>IF(OR(A156="",B156=""),"",B156-C156)</f>
        <v/>
      </c>
    </row>
    <row r="157">
      <c r="A157" s="136" t="n"/>
      <c r="B157" s="137" t="n"/>
      <c r="C157" s="124" t="str">
        <f>IF(A157="","",-SUMIFS(Movimenti!$L$5:$L$1004,Movimenti!$A$5:$A$1004,"&lt;="&amp;EOMONTH(A157,0),Movimenti!$B$5:$B$1004,"&lt;&gt;Dividendo")+IF(Impostazioni!$B$7&lt;=EOMONTH(A157,0),SUM(Calcoli!$D$7:$D$21),0))</f>
        <v/>
      </c>
      <c r="D157" s="138" t="str">
        <f>IF(OR(A157="",B157=""),"",B157-C157)</f>
        <v/>
      </c>
    </row>
    <row r="158">
      <c r="A158" s="136" t="n"/>
      <c r="B158" s="137" t="n"/>
      <c r="C158" s="124" t="str">
        <f>IF(A158="","",-SUMIFS(Movimenti!$L$5:$L$1004,Movimenti!$A$5:$A$1004,"&lt;="&amp;EOMONTH(A158,0),Movimenti!$B$5:$B$1004,"&lt;&gt;Dividendo")+IF(Impostazioni!$B$7&lt;=EOMONTH(A158,0),SUM(Calcoli!$D$7:$D$21),0))</f>
        <v/>
      </c>
      <c r="D158" s="138" t="str">
        <f>IF(OR(A158="",B158=""),"",B158-C158)</f>
        <v/>
      </c>
    </row>
    <row r="159">
      <c r="A159" s="136" t="n"/>
      <c r="B159" s="137" t="n"/>
      <c r="C159" s="124" t="str">
        <f>IF(A159="","",-SUMIFS(Movimenti!$L$5:$L$1004,Movimenti!$A$5:$A$1004,"&lt;="&amp;EOMONTH(A159,0),Movimenti!$B$5:$B$1004,"&lt;&gt;Dividendo")+IF(Impostazioni!$B$7&lt;=EOMONTH(A159,0),SUM(Calcoli!$D$7:$D$21),0))</f>
        <v/>
      </c>
      <c r="D159" s="138" t="str">
        <f>IF(OR(A159="",B159=""),"",B159-C159)</f>
        <v/>
      </c>
    </row>
    <row r="160">
      <c r="A160" s="136" t="n"/>
      <c r="B160" s="137" t="n"/>
      <c r="C160" s="124" t="str">
        <f>IF(A160="","",-SUMIFS(Movimenti!$L$5:$L$1004,Movimenti!$A$5:$A$1004,"&lt;="&amp;EOMONTH(A160,0),Movimenti!$B$5:$B$1004,"&lt;&gt;Dividendo")+IF(Impostazioni!$B$7&lt;=EOMONTH(A160,0),SUM(Calcoli!$D$7:$D$21),0))</f>
        <v/>
      </c>
      <c r="D160" s="138" t="str">
        <f>IF(OR(A160="",B160=""),"",B160-C160)</f>
        <v/>
      </c>
    </row>
    <row r="161">
      <c r="A161" s="136" t="n"/>
      <c r="B161" s="137" t="n"/>
      <c r="C161" s="124" t="str">
        <f>IF(A161="","",-SUMIFS(Movimenti!$L$5:$L$1004,Movimenti!$A$5:$A$1004,"&lt;="&amp;EOMONTH(A161,0),Movimenti!$B$5:$B$1004,"&lt;&gt;Dividendo")+IF(Impostazioni!$B$7&lt;=EOMONTH(A161,0),SUM(Calcoli!$D$7:$D$21),0))</f>
        <v/>
      </c>
      <c r="D161" s="138" t="str">
        <f>IF(OR(A161="",B161=""),"",B161-C161)</f>
        <v/>
      </c>
    </row>
    <row r="162">
      <c r="A162" s="136" t="n"/>
      <c r="B162" s="137" t="n"/>
      <c r="C162" s="124" t="str">
        <f>IF(A162="","",-SUMIFS(Movimenti!$L$5:$L$1004,Movimenti!$A$5:$A$1004,"&lt;="&amp;EOMONTH(A162,0),Movimenti!$B$5:$B$1004,"&lt;&gt;Dividendo")+IF(Impostazioni!$B$7&lt;=EOMONTH(A162,0),SUM(Calcoli!$D$7:$D$21),0))</f>
        <v/>
      </c>
      <c r="D162" s="138" t="str">
        <f>IF(OR(A162="",B162=""),"",B162-C162)</f>
        <v/>
      </c>
    </row>
    <row r="163">
      <c r="A163" s="136" t="n"/>
      <c r="B163" s="137" t="n"/>
      <c r="C163" s="124" t="str">
        <f>IF(A163="","",-SUMIFS(Movimenti!$L$5:$L$1004,Movimenti!$A$5:$A$1004,"&lt;="&amp;EOMONTH(A163,0),Movimenti!$B$5:$B$1004,"&lt;&gt;Dividendo")+IF(Impostazioni!$B$7&lt;=EOMONTH(A163,0),SUM(Calcoli!$D$7:$D$21),0))</f>
        <v/>
      </c>
      <c r="D163" s="138" t="str">
        <f>IF(OR(A163="",B163=""),"",B163-C163)</f>
        <v/>
      </c>
    </row>
    <row r="164">
      <c r="A164" s="136" t="n"/>
      <c r="B164" s="137" t="n"/>
      <c r="C164" s="124" t="str">
        <f>IF(A164="","",-SUMIFS(Movimenti!$L$5:$L$1004,Movimenti!$A$5:$A$1004,"&lt;="&amp;EOMONTH(A164,0),Movimenti!$B$5:$B$1004,"&lt;&gt;Dividendo")+IF(Impostazioni!$B$7&lt;=EOMONTH(A164,0),SUM(Calcoli!$D$7:$D$21),0))</f>
        <v/>
      </c>
      <c r="D164" s="138" t="str">
        <f>IF(OR(A164="",B164=""),"",B164-C164)</f>
        <v/>
      </c>
    </row>
    <row r="165">
      <c r="A165" s="136" t="n"/>
      <c r="B165" s="137" t="n"/>
      <c r="C165" s="124" t="str">
        <f>IF(A165="","",-SUMIFS(Movimenti!$L$5:$L$1004,Movimenti!$A$5:$A$1004,"&lt;="&amp;EOMONTH(A165,0),Movimenti!$B$5:$B$1004,"&lt;&gt;Dividendo")+IF(Impostazioni!$B$7&lt;=EOMONTH(A165,0),SUM(Calcoli!$D$7:$D$21),0))</f>
        <v/>
      </c>
      <c r="D165" s="138" t="str">
        <f>IF(OR(A165="",B165=""),"",B165-C165)</f>
        <v/>
      </c>
    </row>
    <row r="166">
      <c r="A166" s="136" t="n"/>
      <c r="B166" s="137" t="n"/>
      <c r="C166" s="124" t="str">
        <f>IF(A166="","",-SUMIFS(Movimenti!$L$5:$L$1004,Movimenti!$A$5:$A$1004,"&lt;="&amp;EOMONTH(A166,0),Movimenti!$B$5:$B$1004,"&lt;&gt;Dividendo")+IF(Impostazioni!$B$7&lt;=EOMONTH(A166,0),SUM(Calcoli!$D$7:$D$21),0))</f>
        <v/>
      </c>
      <c r="D166" s="138" t="str">
        <f>IF(OR(A166="",B166=""),"",B166-C166)</f>
        <v/>
      </c>
    </row>
    <row r="167">
      <c r="A167" s="136" t="n"/>
      <c r="B167" s="137" t="n"/>
      <c r="C167" s="124" t="str">
        <f>IF(A167="","",-SUMIFS(Movimenti!$L$5:$L$1004,Movimenti!$A$5:$A$1004,"&lt;="&amp;EOMONTH(A167,0),Movimenti!$B$5:$B$1004,"&lt;&gt;Dividendo")+IF(Impostazioni!$B$7&lt;=EOMONTH(A167,0),SUM(Calcoli!$D$7:$D$21),0))</f>
        <v/>
      </c>
      <c r="D167" s="138" t="str">
        <f>IF(OR(A167="",B167=""),"",B167-C167)</f>
        <v/>
      </c>
    </row>
    <row r="168">
      <c r="A168" s="136" t="n"/>
      <c r="B168" s="137" t="n"/>
      <c r="C168" s="124" t="str">
        <f>IF(A168="","",-SUMIFS(Movimenti!$L$5:$L$1004,Movimenti!$A$5:$A$1004,"&lt;="&amp;EOMONTH(A168,0),Movimenti!$B$5:$B$1004,"&lt;&gt;Dividendo")+IF(Impostazioni!$B$7&lt;=EOMONTH(A168,0),SUM(Calcoli!$D$7:$D$21),0))</f>
        <v/>
      </c>
      <c r="D168" s="138" t="str">
        <f>IF(OR(A168="",B168=""),"",B168-C168)</f>
        <v/>
      </c>
    </row>
    <row r="169">
      <c r="A169" s="136" t="n"/>
      <c r="B169" s="137" t="n"/>
      <c r="C169" s="124" t="str">
        <f>IF(A169="","",-SUMIFS(Movimenti!$L$5:$L$1004,Movimenti!$A$5:$A$1004,"&lt;="&amp;EOMONTH(A169,0),Movimenti!$B$5:$B$1004,"&lt;&gt;Dividendo")+IF(Impostazioni!$B$7&lt;=EOMONTH(A169,0),SUM(Calcoli!$D$7:$D$21),0))</f>
        <v/>
      </c>
      <c r="D169" s="138" t="str">
        <f>IF(OR(A169="",B169=""),"",B169-C169)</f>
        <v/>
      </c>
    </row>
    <row r="170">
      <c r="A170" s="136" t="n"/>
      <c r="B170" s="137" t="n"/>
      <c r="C170" s="124" t="str">
        <f>IF(A170="","",-SUMIFS(Movimenti!$L$5:$L$1004,Movimenti!$A$5:$A$1004,"&lt;="&amp;EOMONTH(A170,0),Movimenti!$B$5:$B$1004,"&lt;&gt;Dividendo")+IF(Impostazioni!$B$7&lt;=EOMONTH(A170,0),SUM(Calcoli!$D$7:$D$21),0))</f>
        <v/>
      </c>
      <c r="D170" s="138" t="str">
        <f>IF(OR(A170="",B170=""),"",B170-C170)</f>
        <v/>
      </c>
    </row>
    <row r="171">
      <c r="A171" s="136" t="n"/>
      <c r="B171" s="137" t="n"/>
      <c r="C171" s="124" t="str">
        <f>IF(A171="","",-SUMIFS(Movimenti!$L$5:$L$1004,Movimenti!$A$5:$A$1004,"&lt;="&amp;EOMONTH(A171,0),Movimenti!$B$5:$B$1004,"&lt;&gt;Dividendo")+IF(Impostazioni!$B$7&lt;=EOMONTH(A171,0),SUM(Calcoli!$D$7:$D$21),0))</f>
        <v/>
      </c>
      <c r="D171" s="138" t="str">
        <f>IF(OR(A171="",B171=""),"",B171-C171)</f>
        <v/>
      </c>
    </row>
    <row r="172">
      <c r="A172" s="136" t="n"/>
      <c r="B172" s="137" t="n"/>
      <c r="C172" s="124" t="str">
        <f>IF(A172="","",-SUMIFS(Movimenti!$L$5:$L$1004,Movimenti!$A$5:$A$1004,"&lt;="&amp;EOMONTH(A172,0),Movimenti!$B$5:$B$1004,"&lt;&gt;Dividendo")+IF(Impostazioni!$B$7&lt;=EOMONTH(A172,0),SUM(Calcoli!$D$7:$D$21),0))</f>
        <v/>
      </c>
      <c r="D172" s="138" t="str">
        <f>IF(OR(A172="",B172=""),"",B172-C172)</f>
        <v/>
      </c>
    </row>
    <row r="173">
      <c r="A173" s="136" t="n"/>
      <c r="B173" s="137" t="n"/>
      <c r="C173" s="124" t="str">
        <f>IF(A173="","",-SUMIFS(Movimenti!$L$5:$L$1004,Movimenti!$A$5:$A$1004,"&lt;="&amp;EOMONTH(A173,0),Movimenti!$B$5:$B$1004,"&lt;&gt;Dividendo")+IF(Impostazioni!$B$7&lt;=EOMONTH(A173,0),SUM(Calcoli!$D$7:$D$21),0))</f>
        <v/>
      </c>
      <c r="D173" s="138" t="str">
        <f>IF(OR(A173="",B173=""),"",B173-C173)</f>
        <v/>
      </c>
    </row>
    <row r="174">
      <c r="A174" s="136" t="n"/>
      <c r="B174" s="137" t="n"/>
      <c r="C174" s="124" t="str">
        <f>IF(A174="","",-SUMIFS(Movimenti!$L$5:$L$1004,Movimenti!$A$5:$A$1004,"&lt;="&amp;EOMONTH(A174,0),Movimenti!$B$5:$B$1004,"&lt;&gt;Dividendo")+IF(Impostazioni!$B$7&lt;=EOMONTH(A174,0),SUM(Calcoli!$D$7:$D$21),0))</f>
        <v/>
      </c>
      <c r="D174" s="138" t="str">
        <f>IF(OR(A174="",B174=""),"",B174-C174)</f>
        <v/>
      </c>
    </row>
    <row r="175">
      <c r="A175" s="136" t="n"/>
      <c r="B175" s="137" t="n"/>
      <c r="C175" s="124" t="str">
        <f>IF(A175="","",-SUMIFS(Movimenti!$L$5:$L$1004,Movimenti!$A$5:$A$1004,"&lt;="&amp;EOMONTH(A175,0),Movimenti!$B$5:$B$1004,"&lt;&gt;Dividendo")+IF(Impostazioni!$B$7&lt;=EOMONTH(A175,0),SUM(Calcoli!$D$7:$D$21),0))</f>
        <v/>
      </c>
      <c r="D175" s="138" t="str">
        <f>IF(OR(A175="",B175=""),"",B175-C175)</f>
        <v/>
      </c>
    </row>
    <row r="176">
      <c r="A176" s="136" t="n"/>
      <c r="B176" s="137" t="n"/>
      <c r="C176" s="124" t="str">
        <f>IF(A176="","",-SUMIFS(Movimenti!$L$5:$L$1004,Movimenti!$A$5:$A$1004,"&lt;="&amp;EOMONTH(A176,0),Movimenti!$B$5:$B$1004,"&lt;&gt;Dividendo")+IF(Impostazioni!$B$7&lt;=EOMONTH(A176,0),SUM(Calcoli!$D$7:$D$21),0))</f>
        <v/>
      </c>
      <c r="D176" s="138" t="str">
        <f>IF(OR(A176="",B176=""),"",B176-C176)</f>
        <v/>
      </c>
    </row>
    <row r="177">
      <c r="A177" s="136" t="n"/>
      <c r="B177" s="137" t="n"/>
      <c r="C177" s="124" t="str">
        <f>IF(A177="","",-SUMIFS(Movimenti!$L$5:$L$1004,Movimenti!$A$5:$A$1004,"&lt;="&amp;EOMONTH(A177,0),Movimenti!$B$5:$B$1004,"&lt;&gt;Dividendo")+IF(Impostazioni!$B$7&lt;=EOMONTH(A177,0),SUM(Calcoli!$D$7:$D$21),0))</f>
        <v/>
      </c>
      <c r="D177" s="138" t="str">
        <f>IF(OR(A177="",B177=""),"",B177-C177)</f>
        <v/>
      </c>
    </row>
    <row r="178">
      <c r="A178" s="136" t="n"/>
      <c r="B178" s="137" t="n"/>
      <c r="C178" s="124" t="str">
        <f>IF(A178="","",-SUMIFS(Movimenti!$L$5:$L$1004,Movimenti!$A$5:$A$1004,"&lt;="&amp;EOMONTH(A178,0),Movimenti!$B$5:$B$1004,"&lt;&gt;Dividendo")+IF(Impostazioni!$B$7&lt;=EOMONTH(A178,0),SUM(Calcoli!$D$7:$D$21),0))</f>
        <v/>
      </c>
      <c r="D178" s="138" t="str">
        <f>IF(OR(A178="",B178=""),"",B178-C178)</f>
        <v/>
      </c>
    </row>
    <row r="179">
      <c r="A179" s="136" t="n"/>
      <c r="B179" s="137" t="n"/>
      <c r="C179" s="124" t="str">
        <f>IF(A179="","",-SUMIFS(Movimenti!$L$5:$L$1004,Movimenti!$A$5:$A$1004,"&lt;="&amp;EOMONTH(A179,0),Movimenti!$B$5:$B$1004,"&lt;&gt;Dividendo")+IF(Impostazioni!$B$7&lt;=EOMONTH(A179,0),SUM(Calcoli!$D$7:$D$21),0))</f>
        <v/>
      </c>
      <c r="D179" s="138" t="str">
        <f>IF(OR(A179="",B179=""),"",B179-C179)</f>
        <v/>
      </c>
    </row>
    <row r="180">
      <c r="A180" s="136" t="n"/>
      <c r="B180" s="137" t="n"/>
      <c r="C180" s="124" t="str">
        <f>IF(A180="","",-SUMIFS(Movimenti!$L$5:$L$1004,Movimenti!$A$5:$A$1004,"&lt;="&amp;EOMONTH(A180,0),Movimenti!$B$5:$B$1004,"&lt;&gt;Dividendo")+IF(Impostazioni!$B$7&lt;=EOMONTH(A180,0),SUM(Calcoli!$D$7:$D$21),0))</f>
        <v/>
      </c>
      <c r="D180" s="138" t="str">
        <f>IF(OR(A180="",B180=""),"",B180-C180)</f>
        <v/>
      </c>
    </row>
    <row r="181">
      <c r="A181" s="136" t="n"/>
      <c r="B181" s="137" t="n"/>
      <c r="C181" s="124" t="str">
        <f>IF(A181="","",-SUMIFS(Movimenti!$L$5:$L$1004,Movimenti!$A$5:$A$1004,"&lt;="&amp;EOMONTH(A181,0),Movimenti!$B$5:$B$1004,"&lt;&gt;Dividendo")+IF(Impostazioni!$B$7&lt;=EOMONTH(A181,0),SUM(Calcoli!$D$7:$D$21),0))</f>
        <v/>
      </c>
      <c r="D181" s="138" t="str">
        <f>IF(OR(A181="",B181=""),"",B181-C181)</f>
        <v/>
      </c>
    </row>
    <row r="182">
      <c r="A182" s="136" t="n"/>
      <c r="B182" s="137" t="n"/>
      <c r="C182" s="124" t="str">
        <f>IF(A182="","",-SUMIFS(Movimenti!$L$5:$L$1004,Movimenti!$A$5:$A$1004,"&lt;="&amp;EOMONTH(A182,0),Movimenti!$B$5:$B$1004,"&lt;&gt;Dividendo")+IF(Impostazioni!$B$7&lt;=EOMONTH(A182,0),SUM(Calcoli!$D$7:$D$21),0))</f>
        <v/>
      </c>
      <c r="D182" s="138" t="str">
        <f>IF(OR(A182="",B182=""),"",B182-C182)</f>
        <v/>
      </c>
    </row>
    <row r="183">
      <c r="A183" s="136" t="n"/>
      <c r="B183" s="137" t="n"/>
      <c r="C183" s="124" t="str">
        <f>IF(A183="","",-SUMIFS(Movimenti!$L$5:$L$1004,Movimenti!$A$5:$A$1004,"&lt;="&amp;EOMONTH(A183,0),Movimenti!$B$5:$B$1004,"&lt;&gt;Dividendo")+IF(Impostazioni!$B$7&lt;=EOMONTH(A183,0),SUM(Calcoli!$D$7:$D$21),0))</f>
        <v/>
      </c>
      <c r="D183" s="138" t="str">
        <f>IF(OR(A183="",B183=""),"",B183-C183)</f>
        <v/>
      </c>
    </row>
    <row r="184">
      <c r="A184" s="136" t="n"/>
      <c r="B184" s="137" t="n"/>
      <c r="C184" s="124" t="str">
        <f>IF(A184="","",-SUMIFS(Movimenti!$L$5:$L$1004,Movimenti!$A$5:$A$1004,"&lt;="&amp;EOMONTH(A184,0),Movimenti!$B$5:$B$1004,"&lt;&gt;Dividendo")+IF(Impostazioni!$B$7&lt;=EOMONTH(A184,0),SUM(Calcoli!$D$7:$D$21),0))</f>
        <v/>
      </c>
      <c r="D184" s="138" t="str">
        <f>IF(OR(A184="",B184=""),"",B184-C184)</f>
        <v/>
      </c>
    </row>
    <row r="185">
      <c r="A185" s="136" t="n"/>
      <c r="B185" s="137" t="n"/>
      <c r="C185" s="124" t="str">
        <f>IF(A185="","",-SUMIFS(Movimenti!$L$5:$L$1004,Movimenti!$A$5:$A$1004,"&lt;="&amp;EOMONTH(A185,0),Movimenti!$B$5:$B$1004,"&lt;&gt;Dividendo")+IF(Impostazioni!$B$7&lt;=EOMONTH(A185,0),SUM(Calcoli!$D$7:$D$21),0))</f>
        <v/>
      </c>
      <c r="D185" s="138" t="str">
        <f>IF(OR(A185="",B185=""),"",B185-C185)</f>
        <v/>
      </c>
    </row>
    <row r="186">
      <c r="A186" s="136" t="n"/>
      <c r="B186" s="137" t="n"/>
      <c r="C186" s="124" t="str">
        <f>IF(A186="","",-SUMIFS(Movimenti!$L$5:$L$1004,Movimenti!$A$5:$A$1004,"&lt;="&amp;EOMONTH(A186,0),Movimenti!$B$5:$B$1004,"&lt;&gt;Dividendo")+IF(Impostazioni!$B$7&lt;=EOMONTH(A186,0),SUM(Calcoli!$D$7:$D$21),0))</f>
        <v/>
      </c>
      <c r="D186" s="138" t="str">
        <f>IF(OR(A186="",B186=""),"",B186-C186)</f>
        <v/>
      </c>
    </row>
    <row r="187">
      <c r="A187" s="136" t="n"/>
      <c r="B187" s="137" t="n"/>
      <c r="C187" s="124" t="str">
        <f>IF(A187="","",-SUMIFS(Movimenti!$L$5:$L$1004,Movimenti!$A$5:$A$1004,"&lt;="&amp;EOMONTH(A187,0),Movimenti!$B$5:$B$1004,"&lt;&gt;Dividendo")+IF(Impostazioni!$B$7&lt;=EOMONTH(A187,0),SUM(Calcoli!$D$7:$D$21),0))</f>
        <v/>
      </c>
      <c r="D187" s="138" t="str">
        <f>IF(OR(A187="",B187=""),"",B187-C187)</f>
        <v/>
      </c>
    </row>
    <row r="188">
      <c r="A188" s="136" t="n"/>
      <c r="B188" s="137" t="n"/>
      <c r="C188" s="124" t="str">
        <f>IF(A188="","",-SUMIFS(Movimenti!$L$5:$L$1004,Movimenti!$A$5:$A$1004,"&lt;="&amp;EOMONTH(A188,0),Movimenti!$B$5:$B$1004,"&lt;&gt;Dividendo")+IF(Impostazioni!$B$7&lt;=EOMONTH(A188,0),SUM(Calcoli!$D$7:$D$21),0))</f>
        <v/>
      </c>
      <c r="D188" s="138" t="str">
        <f>IF(OR(A188="",B188=""),"",B188-C188)</f>
        <v/>
      </c>
    </row>
    <row r="189">
      <c r="A189" s="136" t="n"/>
      <c r="B189" s="137" t="n"/>
      <c r="C189" s="124" t="str">
        <f>IF(A189="","",-SUMIFS(Movimenti!$L$5:$L$1004,Movimenti!$A$5:$A$1004,"&lt;="&amp;EOMONTH(A189,0),Movimenti!$B$5:$B$1004,"&lt;&gt;Dividendo")+IF(Impostazioni!$B$7&lt;=EOMONTH(A189,0),SUM(Calcoli!$D$7:$D$21),0))</f>
        <v/>
      </c>
      <c r="D189" s="138" t="str">
        <f>IF(OR(A189="",B189=""),"",B189-C189)</f>
        <v/>
      </c>
    </row>
    <row r="190">
      <c r="A190" s="136" t="n"/>
      <c r="B190" s="137" t="n"/>
      <c r="C190" s="124" t="str">
        <f>IF(A190="","",-SUMIFS(Movimenti!$L$5:$L$1004,Movimenti!$A$5:$A$1004,"&lt;="&amp;EOMONTH(A190,0),Movimenti!$B$5:$B$1004,"&lt;&gt;Dividendo")+IF(Impostazioni!$B$7&lt;=EOMONTH(A190,0),SUM(Calcoli!$D$7:$D$21),0))</f>
        <v/>
      </c>
      <c r="D190" s="138" t="str">
        <f>IF(OR(A190="",B190=""),"",B190-C190)</f>
        <v/>
      </c>
    </row>
    <row r="191">
      <c r="A191" s="136" t="n"/>
      <c r="B191" s="137" t="n"/>
      <c r="C191" s="124" t="str">
        <f>IF(A191="","",-SUMIFS(Movimenti!$L$5:$L$1004,Movimenti!$A$5:$A$1004,"&lt;="&amp;EOMONTH(A191,0),Movimenti!$B$5:$B$1004,"&lt;&gt;Dividendo")+IF(Impostazioni!$B$7&lt;=EOMONTH(A191,0),SUM(Calcoli!$D$7:$D$21),0))</f>
        <v/>
      </c>
      <c r="D191" s="138" t="str">
        <f>IF(OR(A191="",B191=""),"",B191-C191)</f>
        <v/>
      </c>
    </row>
    <row r="192">
      <c r="A192" s="136" t="n"/>
      <c r="B192" s="137" t="n"/>
      <c r="C192" s="124" t="str">
        <f>IF(A192="","",-SUMIFS(Movimenti!$L$5:$L$1004,Movimenti!$A$5:$A$1004,"&lt;="&amp;EOMONTH(A192,0),Movimenti!$B$5:$B$1004,"&lt;&gt;Dividendo")+IF(Impostazioni!$B$7&lt;=EOMONTH(A192,0),SUM(Calcoli!$D$7:$D$21),0))</f>
        <v/>
      </c>
      <c r="D192" s="138" t="str">
        <f>IF(OR(A192="",B192=""),"",B192-C192)</f>
        <v/>
      </c>
    </row>
    <row r="193">
      <c r="A193" s="136" t="n"/>
      <c r="B193" s="137" t="n"/>
      <c r="C193" s="124" t="str">
        <f>IF(A193="","",-SUMIFS(Movimenti!$L$5:$L$1004,Movimenti!$A$5:$A$1004,"&lt;="&amp;EOMONTH(A193,0),Movimenti!$B$5:$B$1004,"&lt;&gt;Dividendo")+IF(Impostazioni!$B$7&lt;=EOMONTH(A193,0),SUM(Calcoli!$D$7:$D$21),0))</f>
        <v/>
      </c>
      <c r="D193" s="138" t="str">
        <f>IF(OR(A193="",B193=""),"",B193-C193)</f>
        <v/>
      </c>
    </row>
    <row r="194">
      <c r="A194" s="136" t="n"/>
      <c r="B194" s="137" t="n"/>
      <c r="C194" s="124" t="str">
        <f>IF(A194="","",-SUMIFS(Movimenti!$L$5:$L$1004,Movimenti!$A$5:$A$1004,"&lt;="&amp;EOMONTH(A194,0),Movimenti!$B$5:$B$1004,"&lt;&gt;Dividendo")+IF(Impostazioni!$B$7&lt;=EOMONTH(A194,0),SUM(Calcoli!$D$7:$D$21),0))</f>
        <v/>
      </c>
      <c r="D194" s="138" t="str">
        <f>IF(OR(A194="",B194=""),"",B194-C194)</f>
        <v/>
      </c>
    </row>
    <row r="195">
      <c r="A195" s="136" t="n"/>
      <c r="B195" s="137" t="n"/>
      <c r="C195" s="124" t="str">
        <f>IF(A195="","",-SUMIFS(Movimenti!$L$5:$L$1004,Movimenti!$A$5:$A$1004,"&lt;="&amp;EOMONTH(A195,0),Movimenti!$B$5:$B$1004,"&lt;&gt;Dividendo")+IF(Impostazioni!$B$7&lt;=EOMONTH(A195,0),SUM(Calcoli!$D$7:$D$21),0))</f>
        <v/>
      </c>
      <c r="D195" s="138" t="str">
        <f>IF(OR(A195="",B195=""),"",B195-C195)</f>
        <v/>
      </c>
    </row>
    <row r="196">
      <c r="A196" s="136" t="n"/>
      <c r="B196" s="137" t="n"/>
      <c r="C196" s="124" t="str">
        <f>IF(A196="","",-SUMIFS(Movimenti!$L$5:$L$1004,Movimenti!$A$5:$A$1004,"&lt;="&amp;EOMONTH(A196,0),Movimenti!$B$5:$B$1004,"&lt;&gt;Dividendo")+IF(Impostazioni!$B$7&lt;=EOMONTH(A196,0),SUM(Calcoli!$D$7:$D$21),0))</f>
        <v/>
      </c>
      <c r="D196" s="138" t="str">
        <f>IF(OR(A196="",B196=""),"",B196-C196)</f>
        <v/>
      </c>
    </row>
    <row r="197">
      <c r="A197" s="136" t="n"/>
      <c r="B197" s="137" t="n"/>
      <c r="C197" s="124" t="str">
        <f>IF(A197="","",-SUMIFS(Movimenti!$L$5:$L$1004,Movimenti!$A$5:$A$1004,"&lt;="&amp;EOMONTH(A197,0),Movimenti!$B$5:$B$1004,"&lt;&gt;Dividendo")+IF(Impostazioni!$B$7&lt;=EOMONTH(A197,0),SUM(Calcoli!$D$7:$D$21),0))</f>
        <v/>
      </c>
      <c r="D197" s="138" t="str">
        <f>IF(OR(A197="",B197=""),"",B197-C197)</f>
        <v/>
      </c>
    </row>
    <row r="198">
      <c r="A198" s="136" t="n"/>
      <c r="B198" s="137" t="n"/>
      <c r="C198" s="124" t="str">
        <f>IF(A198="","",-SUMIFS(Movimenti!$L$5:$L$1004,Movimenti!$A$5:$A$1004,"&lt;="&amp;EOMONTH(A198,0),Movimenti!$B$5:$B$1004,"&lt;&gt;Dividendo")+IF(Impostazioni!$B$7&lt;=EOMONTH(A198,0),SUM(Calcoli!$D$7:$D$21),0))</f>
        <v/>
      </c>
      <c r="D198" s="138" t="str">
        <f>IF(OR(A198="",B198=""),"",B198-C198)</f>
        <v/>
      </c>
    </row>
    <row r="199">
      <c r="A199" s="136" t="n"/>
      <c r="B199" s="137" t="n"/>
      <c r="C199" s="124" t="str">
        <f>IF(A199="","",-SUMIFS(Movimenti!$L$5:$L$1004,Movimenti!$A$5:$A$1004,"&lt;="&amp;EOMONTH(A199,0),Movimenti!$B$5:$B$1004,"&lt;&gt;Dividendo")+IF(Impostazioni!$B$7&lt;=EOMONTH(A199,0),SUM(Calcoli!$D$7:$D$21),0))</f>
        <v/>
      </c>
      <c r="D199" s="138" t="str">
        <f>IF(OR(A199="",B199=""),"",B199-C199)</f>
        <v/>
      </c>
    </row>
    <row r="200">
      <c r="A200" s="136" t="n"/>
      <c r="B200" s="137" t="n"/>
      <c r="C200" s="124" t="str">
        <f>IF(A200="","",-SUMIFS(Movimenti!$L$5:$L$1004,Movimenti!$A$5:$A$1004,"&lt;="&amp;EOMONTH(A200,0),Movimenti!$B$5:$B$1004,"&lt;&gt;Dividendo")+IF(Impostazioni!$B$7&lt;=EOMONTH(A200,0),SUM(Calcoli!$D$7:$D$21),0))</f>
        <v/>
      </c>
      <c r="D200" s="138" t="str">
        <f>IF(OR(A200="",B200=""),"",B200-C200)</f>
        <v/>
      </c>
    </row>
    <row r="201">
      <c r="A201" s="136" t="n"/>
      <c r="B201" s="137" t="n"/>
      <c r="C201" s="124" t="str">
        <f>IF(A201="","",-SUMIFS(Movimenti!$L$5:$L$1004,Movimenti!$A$5:$A$1004,"&lt;="&amp;EOMONTH(A201,0),Movimenti!$B$5:$B$1004,"&lt;&gt;Dividendo")+IF(Impostazioni!$B$7&lt;=EOMONTH(A201,0),SUM(Calcoli!$D$7:$D$21),0))</f>
        <v/>
      </c>
      <c r="D201" s="138" t="str">
        <f>IF(OR(A201="",B201=""),"",B201-C201)</f>
        <v/>
      </c>
    </row>
    <row r="202">
      <c r="A202" s="136" t="n"/>
      <c r="B202" s="137" t="n"/>
      <c r="C202" s="124" t="str">
        <f>IF(A202="","",-SUMIFS(Movimenti!$L$5:$L$1004,Movimenti!$A$5:$A$1004,"&lt;="&amp;EOMONTH(A202,0),Movimenti!$B$5:$B$1004,"&lt;&gt;Dividendo")+IF(Impostazioni!$B$7&lt;=EOMONTH(A202,0),SUM(Calcoli!$D$7:$D$21),0))</f>
        <v/>
      </c>
      <c r="D202" s="138" t="str">
        <f>IF(OR(A202="",B202=""),"",B202-C202)</f>
        <v/>
      </c>
    </row>
    <row r="203">
      <c r="A203" s="136" t="n"/>
      <c r="B203" s="137" t="n"/>
      <c r="C203" s="124" t="str">
        <f>IF(A203="","",-SUMIFS(Movimenti!$L$5:$L$1004,Movimenti!$A$5:$A$1004,"&lt;="&amp;EOMONTH(A203,0),Movimenti!$B$5:$B$1004,"&lt;&gt;Dividendo")+IF(Impostazioni!$B$7&lt;=EOMONTH(A203,0),SUM(Calcoli!$D$7:$D$21),0))</f>
        <v/>
      </c>
      <c r="D203" s="138" t="str">
        <f>IF(OR(A203="",B203=""),"",B203-C203)</f>
        <v/>
      </c>
    </row>
    <row r="204">
      <c r="A204" s="136" t="n"/>
      <c r="B204" s="137" t="n"/>
      <c r="C204" s="124" t="str">
        <f>IF(A204="","",-SUMIFS(Movimenti!$L$5:$L$1004,Movimenti!$A$5:$A$1004,"&lt;="&amp;EOMONTH(A204,0),Movimenti!$B$5:$B$1004,"&lt;&gt;Dividendo")+IF(Impostazioni!$B$7&lt;=EOMONTH(A204,0),SUM(Calcoli!$D$7:$D$21),0))</f>
        <v/>
      </c>
      <c r="D204" s="138" t="str">
        <f>IF(OR(A204="",B204=""),"",B204-C204)</f>
        <v/>
      </c>
    </row>
    <row r="205">
      <c r="A205" s="136" t="n"/>
      <c r="B205" s="137" t="n"/>
      <c r="C205" s="124" t="str">
        <f>IF(A205="","",-SUMIFS(Movimenti!$L$5:$L$1004,Movimenti!$A$5:$A$1004,"&lt;="&amp;EOMONTH(A205,0),Movimenti!$B$5:$B$1004,"&lt;&gt;Dividendo")+IF(Impostazioni!$B$7&lt;=EOMONTH(A205,0),SUM(Calcoli!$D$7:$D$21),0))</f>
        <v/>
      </c>
      <c r="D205" s="138" t="str">
        <f>IF(OR(A205="",B205=""),"",B205-C205)</f>
        <v/>
      </c>
    </row>
    <row r="206">
      <c r="A206" s="136" t="n"/>
      <c r="B206" s="137" t="n"/>
      <c r="C206" s="124" t="str">
        <f>IF(A206="","",-SUMIFS(Movimenti!$L$5:$L$1004,Movimenti!$A$5:$A$1004,"&lt;="&amp;EOMONTH(A206,0),Movimenti!$B$5:$B$1004,"&lt;&gt;Dividendo")+IF(Impostazioni!$B$7&lt;=EOMONTH(A206,0),SUM(Calcoli!$D$7:$D$21),0))</f>
        <v/>
      </c>
      <c r="D206" s="138" t="str">
        <f>IF(OR(A206="",B206=""),"",B206-C206)</f>
        <v/>
      </c>
    </row>
    <row r="207">
      <c r="A207" s="136" t="n"/>
      <c r="B207" s="137" t="n"/>
      <c r="C207" s="124" t="str">
        <f>IF(A207="","",-SUMIFS(Movimenti!$L$5:$L$1004,Movimenti!$A$5:$A$1004,"&lt;="&amp;EOMONTH(A207,0),Movimenti!$B$5:$B$1004,"&lt;&gt;Dividendo")+IF(Impostazioni!$B$7&lt;=EOMONTH(A207,0),SUM(Calcoli!$D$7:$D$21),0))</f>
        <v/>
      </c>
      <c r="D207" s="138" t="str">
        <f>IF(OR(A207="",B207=""),"",B207-C207)</f>
        <v/>
      </c>
    </row>
    <row r="208">
      <c r="A208" s="136" t="n"/>
      <c r="B208" s="137" t="n"/>
      <c r="C208" s="124" t="str">
        <f>IF(A208="","",-SUMIFS(Movimenti!$L$5:$L$1004,Movimenti!$A$5:$A$1004,"&lt;="&amp;EOMONTH(A208,0),Movimenti!$B$5:$B$1004,"&lt;&gt;Dividendo")+IF(Impostazioni!$B$7&lt;=EOMONTH(A208,0),SUM(Calcoli!$D$7:$D$21),0))</f>
        <v/>
      </c>
      <c r="D208" s="138" t="str">
        <f>IF(OR(A208="",B208=""),"",B208-C208)</f>
        <v/>
      </c>
    </row>
    <row r="209">
      <c r="A209" s="136" t="n"/>
      <c r="B209" s="137" t="n"/>
      <c r="C209" s="124" t="str">
        <f>IF(A209="","",-SUMIFS(Movimenti!$L$5:$L$1004,Movimenti!$A$5:$A$1004,"&lt;="&amp;EOMONTH(A209,0),Movimenti!$B$5:$B$1004,"&lt;&gt;Dividendo")+IF(Impostazioni!$B$7&lt;=EOMONTH(A209,0),SUM(Calcoli!$D$7:$D$21),0))</f>
        <v/>
      </c>
      <c r="D209" s="138" t="str">
        <f>IF(OR(A209="",B209=""),"",B209-C209)</f>
        <v/>
      </c>
    </row>
    <row r="210">
      <c r="A210" s="136" t="n"/>
      <c r="B210" s="137" t="n"/>
      <c r="C210" s="124" t="str">
        <f>IF(A210="","",-SUMIFS(Movimenti!$L$5:$L$1004,Movimenti!$A$5:$A$1004,"&lt;="&amp;EOMONTH(A210,0),Movimenti!$B$5:$B$1004,"&lt;&gt;Dividendo")+IF(Impostazioni!$B$7&lt;=EOMONTH(A210,0),SUM(Calcoli!$D$7:$D$21),0))</f>
        <v/>
      </c>
      <c r="D210" s="138" t="str">
        <f>IF(OR(A210="",B210=""),"",B210-C210)</f>
        <v/>
      </c>
    </row>
    <row r="211">
      <c r="A211" s="136" t="n"/>
      <c r="B211" s="137" t="n"/>
      <c r="C211" s="124" t="str">
        <f>IF(A211="","",-SUMIFS(Movimenti!$L$5:$L$1004,Movimenti!$A$5:$A$1004,"&lt;="&amp;EOMONTH(A211,0),Movimenti!$B$5:$B$1004,"&lt;&gt;Dividendo")+IF(Impostazioni!$B$7&lt;=EOMONTH(A211,0),SUM(Calcoli!$D$7:$D$21),0))</f>
        <v/>
      </c>
      <c r="D211" s="138" t="str">
        <f>IF(OR(A211="",B211=""),"",B211-C211)</f>
        <v/>
      </c>
    </row>
    <row r="212">
      <c r="A212" s="136" t="n"/>
      <c r="B212" s="137" t="n"/>
      <c r="C212" s="124" t="str">
        <f>IF(A212="","",-SUMIFS(Movimenti!$L$5:$L$1004,Movimenti!$A$5:$A$1004,"&lt;="&amp;EOMONTH(A212,0),Movimenti!$B$5:$B$1004,"&lt;&gt;Dividendo")+IF(Impostazioni!$B$7&lt;=EOMONTH(A212,0),SUM(Calcoli!$D$7:$D$21),0))</f>
        <v/>
      </c>
      <c r="D212" s="138" t="str">
        <f>IF(OR(A212="",B212=""),"",B212-C212)</f>
        <v/>
      </c>
    </row>
    <row r="213">
      <c r="A213" s="136" t="n"/>
      <c r="B213" s="137" t="n"/>
      <c r="C213" s="124" t="str">
        <f>IF(A213="","",-SUMIFS(Movimenti!$L$5:$L$1004,Movimenti!$A$5:$A$1004,"&lt;="&amp;EOMONTH(A213,0),Movimenti!$B$5:$B$1004,"&lt;&gt;Dividendo")+IF(Impostazioni!$B$7&lt;=EOMONTH(A213,0),SUM(Calcoli!$D$7:$D$21),0))</f>
        <v/>
      </c>
      <c r="D213" s="138" t="str">
        <f>IF(OR(A213="",B213=""),"",B213-C213)</f>
        <v/>
      </c>
    </row>
    <row r="214">
      <c r="A214" s="136" t="n"/>
      <c r="B214" s="137" t="n"/>
      <c r="C214" s="124" t="str">
        <f>IF(A214="","",-SUMIFS(Movimenti!$L$5:$L$1004,Movimenti!$A$5:$A$1004,"&lt;="&amp;EOMONTH(A214,0),Movimenti!$B$5:$B$1004,"&lt;&gt;Dividendo")+IF(Impostazioni!$B$7&lt;=EOMONTH(A214,0),SUM(Calcoli!$D$7:$D$21),0))</f>
        <v/>
      </c>
      <c r="D214" s="138" t="str">
        <f>IF(OR(A214="",B214=""),"",B214-C214)</f>
        <v/>
      </c>
    </row>
    <row r="215">
      <c r="A215" s="136" t="n"/>
      <c r="B215" s="137" t="n"/>
      <c r="C215" s="124" t="str">
        <f>IF(A215="","",-SUMIFS(Movimenti!$L$5:$L$1004,Movimenti!$A$5:$A$1004,"&lt;="&amp;EOMONTH(A215,0),Movimenti!$B$5:$B$1004,"&lt;&gt;Dividendo")+IF(Impostazioni!$B$7&lt;=EOMONTH(A215,0),SUM(Calcoli!$D$7:$D$21),0))</f>
        <v/>
      </c>
      <c r="D215" s="138" t="str">
        <f>IF(OR(A215="",B215=""),"",B215-C215)</f>
        <v/>
      </c>
    </row>
    <row r="216">
      <c r="A216" s="136" t="n"/>
      <c r="B216" s="137" t="n"/>
      <c r="C216" s="124" t="str">
        <f>IF(A216="","",-SUMIFS(Movimenti!$L$5:$L$1004,Movimenti!$A$5:$A$1004,"&lt;="&amp;EOMONTH(A216,0),Movimenti!$B$5:$B$1004,"&lt;&gt;Dividendo")+IF(Impostazioni!$B$7&lt;=EOMONTH(A216,0),SUM(Calcoli!$D$7:$D$21),0))</f>
        <v/>
      </c>
      <c r="D216" s="138" t="str">
        <f>IF(OR(A216="",B216=""),"",B216-C216)</f>
        <v/>
      </c>
    </row>
    <row r="217">
      <c r="A217" s="136" t="n"/>
      <c r="B217" s="137" t="n"/>
      <c r="C217" s="124" t="str">
        <f>IF(A217="","",-SUMIFS(Movimenti!$L$5:$L$1004,Movimenti!$A$5:$A$1004,"&lt;="&amp;EOMONTH(A217,0),Movimenti!$B$5:$B$1004,"&lt;&gt;Dividendo")+IF(Impostazioni!$B$7&lt;=EOMONTH(A217,0),SUM(Calcoli!$D$7:$D$21),0))</f>
        <v/>
      </c>
      <c r="D217" s="138" t="str">
        <f>IF(OR(A217="",B217=""),"",B217-C217)</f>
        <v/>
      </c>
    </row>
    <row r="218">
      <c r="A218" s="136" t="n"/>
      <c r="B218" s="137" t="n"/>
      <c r="C218" s="124" t="str">
        <f>IF(A218="","",-SUMIFS(Movimenti!$L$5:$L$1004,Movimenti!$A$5:$A$1004,"&lt;="&amp;EOMONTH(A218,0),Movimenti!$B$5:$B$1004,"&lt;&gt;Dividendo")+IF(Impostazioni!$B$7&lt;=EOMONTH(A218,0),SUM(Calcoli!$D$7:$D$21),0))</f>
        <v/>
      </c>
      <c r="D218" s="138" t="str">
        <f>IF(OR(A218="",B218=""),"",B218-C218)</f>
        <v/>
      </c>
    </row>
    <row r="219">
      <c r="A219" s="136" t="n"/>
      <c r="B219" s="137" t="n"/>
      <c r="C219" s="124" t="str">
        <f>IF(A219="","",-SUMIFS(Movimenti!$L$5:$L$1004,Movimenti!$A$5:$A$1004,"&lt;="&amp;EOMONTH(A219,0),Movimenti!$B$5:$B$1004,"&lt;&gt;Dividendo")+IF(Impostazioni!$B$7&lt;=EOMONTH(A219,0),SUM(Calcoli!$D$7:$D$21),0))</f>
        <v/>
      </c>
      <c r="D219" s="138" t="str">
        <f>IF(OR(A219="",B219=""),"",B219-C219)</f>
        <v/>
      </c>
    </row>
    <row r="220">
      <c r="A220" s="136" t="n"/>
      <c r="B220" s="137" t="n"/>
      <c r="C220" s="124" t="str">
        <f>IF(A220="","",-SUMIFS(Movimenti!$L$5:$L$1004,Movimenti!$A$5:$A$1004,"&lt;="&amp;EOMONTH(A220,0),Movimenti!$B$5:$B$1004,"&lt;&gt;Dividendo")+IF(Impostazioni!$B$7&lt;=EOMONTH(A220,0),SUM(Calcoli!$D$7:$D$21),0))</f>
        <v/>
      </c>
      <c r="D220" s="138" t="str">
        <f>IF(OR(A220="",B220=""),"",B220-C220)</f>
        <v/>
      </c>
    </row>
    <row r="221">
      <c r="A221" s="136" t="n"/>
      <c r="B221" s="137" t="n"/>
      <c r="C221" s="124" t="str">
        <f>IF(A221="","",-SUMIFS(Movimenti!$L$5:$L$1004,Movimenti!$A$5:$A$1004,"&lt;="&amp;EOMONTH(A221,0),Movimenti!$B$5:$B$1004,"&lt;&gt;Dividendo")+IF(Impostazioni!$B$7&lt;=EOMONTH(A221,0),SUM(Calcoli!$D$7:$D$21),0))</f>
        <v/>
      </c>
      <c r="D221" s="138" t="str">
        <f>IF(OR(A221="",B221=""),"",B221-C221)</f>
        <v/>
      </c>
    </row>
    <row r="222">
      <c r="A222" s="136" t="n"/>
      <c r="B222" s="137" t="n"/>
      <c r="C222" s="124" t="str">
        <f>IF(A222="","",-SUMIFS(Movimenti!$L$5:$L$1004,Movimenti!$A$5:$A$1004,"&lt;="&amp;EOMONTH(A222,0),Movimenti!$B$5:$B$1004,"&lt;&gt;Dividendo")+IF(Impostazioni!$B$7&lt;=EOMONTH(A222,0),SUM(Calcoli!$D$7:$D$21),0))</f>
        <v/>
      </c>
      <c r="D222" s="138" t="str">
        <f>IF(OR(A222="",B222=""),"",B222-C222)</f>
        <v/>
      </c>
    </row>
    <row r="223">
      <c r="A223" s="136" t="n"/>
      <c r="B223" s="137" t="n"/>
      <c r="C223" s="124" t="str">
        <f>IF(A223="","",-SUMIFS(Movimenti!$L$5:$L$1004,Movimenti!$A$5:$A$1004,"&lt;="&amp;EOMONTH(A223,0),Movimenti!$B$5:$B$1004,"&lt;&gt;Dividendo")+IF(Impostazioni!$B$7&lt;=EOMONTH(A223,0),SUM(Calcoli!$D$7:$D$21),0))</f>
        <v/>
      </c>
      <c r="D223" s="138" t="str">
        <f>IF(OR(A223="",B223=""),"",B223-C223)</f>
        <v/>
      </c>
    </row>
    <row r="224">
      <c r="A224" s="136" t="n"/>
      <c r="B224" s="137" t="n"/>
      <c r="C224" s="124" t="str">
        <f>IF(A224="","",-SUMIFS(Movimenti!$L$5:$L$1004,Movimenti!$A$5:$A$1004,"&lt;="&amp;EOMONTH(A224,0),Movimenti!$B$5:$B$1004,"&lt;&gt;Dividendo")+IF(Impostazioni!$B$7&lt;=EOMONTH(A224,0),SUM(Calcoli!$D$7:$D$21),0))</f>
        <v/>
      </c>
      <c r="D224" s="138" t="str">
        <f>IF(OR(A224="",B224=""),"",B224-C224)</f>
        <v/>
      </c>
    </row>
    <row r="225">
      <c r="A225" s="136" t="n"/>
      <c r="B225" s="137" t="n"/>
      <c r="C225" s="124" t="str">
        <f>IF(A225="","",-SUMIFS(Movimenti!$L$5:$L$1004,Movimenti!$A$5:$A$1004,"&lt;="&amp;EOMONTH(A225,0),Movimenti!$B$5:$B$1004,"&lt;&gt;Dividendo")+IF(Impostazioni!$B$7&lt;=EOMONTH(A225,0),SUM(Calcoli!$D$7:$D$21),0))</f>
        <v/>
      </c>
      <c r="D225" s="138" t="str">
        <f>IF(OR(A225="",B225=""),"",B225-C225)</f>
        <v/>
      </c>
    </row>
    <row r="226">
      <c r="A226" s="136" t="n"/>
      <c r="B226" s="137" t="n"/>
      <c r="C226" s="124" t="str">
        <f>IF(A226="","",-SUMIFS(Movimenti!$L$5:$L$1004,Movimenti!$A$5:$A$1004,"&lt;="&amp;EOMONTH(A226,0),Movimenti!$B$5:$B$1004,"&lt;&gt;Dividendo")+IF(Impostazioni!$B$7&lt;=EOMONTH(A226,0),SUM(Calcoli!$D$7:$D$21),0))</f>
        <v/>
      </c>
      <c r="D226" s="138" t="str">
        <f>IF(OR(A226="",B226=""),"",B226-C226)</f>
        <v/>
      </c>
    </row>
    <row r="227">
      <c r="A227" s="136" t="n"/>
      <c r="B227" s="137" t="n"/>
      <c r="C227" s="124" t="str">
        <f>IF(A227="","",-SUMIFS(Movimenti!$L$5:$L$1004,Movimenti!$A$5:$A$1004,"&lt;="&amp;EOMONTH(A227,0),Movimenti!$B$5:$B$1004,"&lt;&gt;Dividendo")+IF(Impostazioni!$B$7&lt;=EOMONTH(A227,0),SUM(Calcoli!$D$7:$D$21),0))</f>
        <v/>
      </c>
      <c r="D227" s="138" t="str">
        <f>IF(OR(A227="",B227=""),"",B227-C227)</f>
        <v/>
      </c>
    </row>
    <row r="228">
      <c r="A228" s="136" t="n"/>
      <c r="B228" s="137" t="n"/>
      <c r="C228" s="124" t="str">
        <f>IF(A228="","",-SUMIFS(Movimenti!$L$5:$L$1004,Movimenti!$A$5:$A$1004,"&lt;="&amp;EOMONTH(A228,0),Movimenti!$B$5:$B$1004,"&lt;&gt;Dividendo")+IF(Impostazioni!$B$7&lt;=EOMONTH(A228,0),SUM(Calcoli!$D$7:$D$21),0))</f>
        <v/>
      </c>
      <c r="D228" s="138" t="str">
        <f>IF(OR(A228="",B228=""),"",B228-C228)</f>
        <v/>
      </c>
    </row>
    <row r="229">
      <c r="A229" s="136" t="n"/>
      <c r="B229" s="137" t="n"/>
      <c r="C229" s="124" t="str">
        <f>IF(A229="","",-SUMIFS(Movimenti!$L$5:$L$1004,Movimenti!$A$5:$A$1004,"&lt;="&amp;EOMONTH(A229,0),Movimenti!$B$5:$B$1004,"&lt;&gt;Dividendo")+IF(Impostazioni!$B$7&lt;=EOMONTH(A229,0),SUM(Calcoli!$D$7:$D$21),0))</f>
        <v/>
      </c>
      <c r="D229" s="138" t="str">
        <f>IF(OR(A229="",B229=""),"",B229-C229)</f>
        <v/>
      </c>
    </row>
    <row r="230">
      <c r="A230" s="136" t="n"/>
      <c r="B230" s="137" t="n"/>
      <c r="C230" s="124" t="str">
        <f>IF(A230="","",-SUMIFS(Movimenti!$L$5:$L$1004,Movimenti!$A$5:$A$1004,"&lt;="&amp;EOMONTH(A230,0),Movimenti!$B$5:$B$1004,"&lt;&gt;Dividendo")+IF(Impostazioni!$B$7&lt;=EOMONTH(A230,0),SUM(Calcoli!$D$7:$D$21),0))</f>
        <v/>
      </c>
      <c r="D230" s="138" t="str">
        <f>IF(OR(A230="",B230=""),"",B230-C230)</f>
        <v/>
      </c>
    </row>
    <row r="231">
      <c r="A231" s="136" t="n"/>
      <c r="B231" s="137" t="n"/>
      <c r="C231" s="124" t="str">
        <f>IF(A231="","",-SUMIFS(Movimenti!$L$5:$L$1004,Movimenti!$A$5:$A$1004,"&lt;="&amp;EOMONTH(A231,0),Movimenti!$B$5:$B$1004,"&lt;&gt;Dividendo")+IF(Impostazioni!$B$7&lt;=EOMONTH(A231,0),SUM(Calcoli!$D$7:$D$21),0))</f>
        <v/>
      </c>
      <c r="D231" s="138" t="str">
        <f>IF(OR(A231="",B231=""),"",B231-C231)</f>
        <v/>
      </c>
    </row>
    <row r="232">
      <c r="A232" s="136" t="n"/>
      <c r="B232" s="137" t="n"/>
      <c r="C232" s="124" t="str">
        <f>IF(A232="","",-SUMIFS(Movimenti!$L$5:$L$1004,Movimenti!$A$5:$A$1004,"&lt;="&amp;EOMONTH(A232,0),Movimenti!$B$5:$B$1004,"&lt;&gt;Dividendo")+IF(Impostazioni!$B$7&lt;=EOMONTH(A232,0),SUM(Calcoli!$D$7:$D$21),0))</f>
        <v/>
      </c>
      <c r="D232" s="138" t="str">
        <f>IF(OR(A232="",B232=""),"",B232-C232)</f>
        <v/>
      </c>
    </row>
    <row r="233">
      <c r="A233" s="136" t="n"/>
      <c r="B233" s="137" t="n"/>
      <c r="C233" s="124" t="str">
        <f>IF(A233="","",-SUMIFS(Movimenti!$L$5:$L$1004,Movimenti!$A$5:$A$1004,"&lt;="&amp;EOMONTH(A233,0),Movimenti!$B$5:$B$1004,"&lt;&gt;Dividendo")+IF(Impostazioni!$B$7&lt;=EOMONTH(A233,0),SUM(Calcoli!$D$7:$D$21),0))</f>
        <v/>
      </c>
      <c r="D233" s="138" t="str">
        <f>IF(OR(A233="",B233=""),"",B233-C233)</f>
        <v/>
      </c>
    </row>
    <row r="234">
      <c r="A234" s="136" t="n"/>
      <c r="B234" s="137" t="n"/>
      <c r="C234" s="124" t="str">
        <f>IF(A234="","",-SUMIFS(Movimenti!$L$5:$L$1004,Movimenti!$A$5:$A$1004,"&lt;="&amp;EOMONTH(A234,0),Movimenti!$B$5:$B$1004,"&lt;&gt;Dividendo")+IF(Impostazioni!$B$7&lt;=EOMONTH(A234,0),SUM(Calcoli!$D$7:$D$21),0))</f>
        <v/>
      </c>
      <c r="D234" s="138" t="str">
        <f>IF(OR(A234="",B234=""),"",B234-C234)</f>
        <v/>
      </c>
    </row>
    <row r="235">
      <c r="A235" s="136" t="n"/>
      <c r="B235" s="137" t="n"/>
      <c r="C235" s="124" t="str">
        <f>IF(A235="","",-SUMIFS(Movimenti!$L$5:$L$1004,Movimenti!$A$5:$A$1004,"&lt;="&amp;EOMONTH(A235,0),Movimenti!$B$5:$B$1004,"&lt;&gt;Dividendo")+IF(Impostazioni!$B$7&lt;=EOMONTH(A235,0),SUM(Calcoli!$D$7:$D$21),0))</f>
        <v/>
      </c>
      <c r="D235" s="138" t="str">
        <f>IF(OR(A235="",B235=""),"",B235-C235)</f>
        <v/>
      </c>
    </row>
    <row r="236">
      <c r="A236" s="136" t="n"/>
      <c r="B236" s="137" t="n"/>
      <c r="C236" s="124" t="str">
        <f>IF(A236="","",-SUMIFS(Movimenti!$L$5:$L$1004,Movimenti!$A$5:$A$1004,"&lt;="&amp;EOMONTH(A236,0),Movimenti!$B$5:$B$1004,"&lt;&gt;Dividendo")+IF(Impostazioni!$B$7&lt;=EOMONTH(A236,0),SUM(Calcoli!$D$7:$D$21),0))</f>
        <v/>
      </c>
      <c r="D236" s="138" t="str">
        <f>IF(OR(A236="",B236=""),"",B236-C236)</f>
        <v/>
      </c>
    </row>
    <row r="237">
      <c r="A237" s="136" t="n"/>
      <c r="B237" s="137" t="n"/>
      <c r="C237" s="124" t="str">
        <f>IF(A237="","",-SUMIFS(Movimenti!$L$5:$L$1004,Movimenti!$A$5:$A$1004,"&lt;="&amp;EOMONTH(A237,0),Movimenti!$B$5:$B$1004,"&lt;&gt;Dividendo")+IF(Impostazioni!$B$7&lt;=EOMONTH(A237,0),SUM(Calcoli!$D$7:$D$21),0))</f>
        <v/>
      </c>
      <c r="D237" s="138" t="str">
        <f>IF(OR(A237="",B237=""),"",B237-C237)</f>
        <v/>
      </c>
    </row>
    <row r="238">
      <c r="A238" s="136" t="n"/>
      <c r="B238" s="137" t="n"/>
      <c r="C238" s="124" t="str">
        <f>IF(A238="","",-SUMIFS(Movimenti!$L$5:$L$1004,Movimenti!$A$5:$A$1004,"&lt;="&amp;EOMONTH(A238,0),Movimenti!$B$5:$B$1004,"&lt;&gt;Dividendo")+IF(Impostazioni!$B$7&lt;=EOMONTH(A238,0),SUM(Calcoli!$D$7:$D$21),0))</f>
        <v/>
      </c>
      <c r="D238" s="138" t="str">
        <f>IF(OR(A238="",B238=""),"",B238-C238)</f>
        <v/>
      </c>
    </row>
    <row r="239">
      <c r="A239" s="136" t="n"/>
      <c r="B239" s="137" t="n"/>
      <c r="C239" s="124" t="str">
        <f>IF(A239="","",-SUMIFS(Movimenti!$L$5:$L$1004,Movimenti!$A$5:$A$1004,"&lt;="&amp;EOMONTH(A239,0),Movimenti!$B$5:$B$1004,"&lt;&gt;Dividendo")+IF(Impostazioni!$B$7&lt;=EOMONTH(A239,0),SUM(Calcoli!$D$7:$D$21),0))</f>
        <v/>
      </c>
      <c r="D239" s="138" t="str">
        <f>IF(OR(A239="",B239=""),"",B239-C239)</f>
        <v/>
      </c>
    </row>
    <row r="240">
      <c r="A240" s="136" t="n"/>
      <c r="B240" s="137" t="n"/>
      <c r="C240" s="124" t="str">
        <f>IF(A240="","",-SUMIFS(Movimenti!$L$5:$L$1004,Movimenti!$A$5:$A$1004,"&lt;="&amp;EOMONTH(A240,0),Movimenti!$B$5:$B$1004,"&lt;&gt;Dividendo")+IF(Impostazioni!$B$7&lt;=EOMONTH(A240,0),SUM(Calcoli!$D$7:$D$21),0))</f>
        <v/>
      </c>
      <c r="D240" s="138" t="str">
        <f>IF(OR(A240="",B240=""),"",B240-C240)</f>
        <v/>
      </c>
    </row>
    <row r="241">
      <c r="A241" s="136" t="n"/>
      <c r="B241" s="137" t="n"/>
      <c r="C241" s="124" t="str">
        <f>IF(A241="","",-SUMIFS(Movimenti!$L$5:$L$1004,Movimenti!$A$5:$A$1004,"&lt;="&amp;EOMONTH(A241,0),Movimenti!$B$5:$B$1004,"&lt;&gt;Dividendo")+IF(Impostazioni!$B$7&lt;=EOMONTH(A241,0),SUM(Calcoli!$D$7:$D$21),0))</f>
        <v/>
      </c>
      <c r="D241" s="138" t="str">
        <f>IF(OR(A241="",B241=""),"",B241-C241)</f>
        <v/>
      </c>
    </row>
    <row r="242">
      <c r="A242" s="136" t="n"/>
      <c r="B242" s="137" t="n"/>
      <c r="C242" s="124" t="str">
        <f>IF(A242="","",-SUMIFS(Movimenti!$L$5:$L$1004,Movimenti!$A$5:$A$1004,"&lt;="&amp;EOMONTH(A242,0),Movimenti!$B$5:$B$1004,"&lt;&gt;Dividendo")+IF(Impostazioni!$B$7&lt;=EOMONTH(A242,0),SUM(Calcoli!$D$7:$D$21),0))</f>
        <v/>
      </c>
      <c r="D242" s="138" t="str">
        <f>IF(OR(A242="",B242=""),"",B242-C242)</f>
        <v/>
      </c>
    </row>
    <row r="243">
      <c r="A243" s="136" t="n"/>
      <c r="B243" s="137" t="n"/>
      <c r="C243" s="124" t="str">
        <f>IF(A243="","",-SUMIFS(Movimenti!$L$5:$L$1004,Movimenti!$A$5:$A$1004,"&lt;="&amp;EOMONTH(A243,0),Movimenti!$B$5:$B$1004,"&lt;&gt;Dividendo")+IF(Impostazioni!$B$7&lt;=EOMONTH(A243,0),SUM(Calcoli!$D$7:$D$21),0))</f>
        <v/>
      </c>
      <c r="D243" s="138" t="str">
        <f>IF(OR(A243="",B243=""),"",B243-C243)</f>
        <v/>
      </c>
    </row>
    <row r="244">
      <c r="A244" s="136" t="n"/>
      <c r="B244" s="137" t="n"/>
      <c r="C244" s="124" t="str">
        <f>IF(A244="","",-SUMIFS(Movimenti!$L$5:$L$1004,Movimenti!$A$5:$A$1004,"&lt;="&amp;EOMONTH(A244,0),Movimenti!$B$5:$B$1004,"&lt;&gt;Dividendo")+IF(Impostazioni!$B$7&lt;=EOMONTH(A244,0),SUM(Calcoli!$D$7:$D$21),0))</f>
        <v/>
      </c>
      <c r="D244" s="138" t="str">
        <f>IF(OR(A244="",B244=""),"",B244-C244)</f>
        <v/>
      </c>
    </row>
    <row r="245">
      <c r="A245" s="136" t="n"/>
      <c r="B245" s="137" t="n"/>
      <c r="C245" s="124" t="str">
        <f>IF(A245="","",-SUMIFS(Movimenti!$L$5:$L$1004,Movimenti!$A$5:$A$1004,"&lt;="&amp;EOMONTH(A245,0),Movimenti!$B$5:$B$1004,"&lt;&gt;Dividendo")+IF(Impostazioni!$B$7&lt;=EOMONTH(A245,0),SUM(Calcoli!$D$7:$D$21),0))</f>
        <v/>
      </c>
      <c r="D245" s="138" t="str">
        <f>IF(OR(A245="",B245=""),"",B245-C245)</f>
        <v/>
      </c>
    </row>
  </sheetData>
  <dataValidations count="2">
    <dataValidation sqref="A6:A245" showDropDown="0" showInputMessage="0" showErrorMessage="1" allowBlank="1" errorTitle="Data non valida" error="Scrivi il mese, per esempio 01/11/2026." type="date" operator="between">
      <formula1>DATE(2000,1,1)</formula1>
      <formula2>DATE(2100,12,31)</formula2>
    </dataValidation>
    <dataValidation sqref="B6:B245" showDropDown="0" showInputMessage="0" showErrorMessage="1" allowBlank="1" errorTitle="Importo non valido" error="Scrivi il valore in euro." type="decimal" operator="greaterThanOrEqual">
      <formula1>0</formula1>
    </dataValidation>
  </dataValidations>
  <hyperlinks>
    <hyperlink ref="A3" location="'Riepilogo'!A1" display="← Torna al Riepilogo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B9C2D1"/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58" customWidth="1" min="3" max="3"/>
    <col width="3" customWidth="1" min="4" max="4"/>
    <col width="18" customWidth="1" min="5" max="5"/>
    <col width="12" customWidth="1" min="6" max="6"/>
    <col width="3" customWidth="1" min="7" max="7"/>
    <col width="18" customWidth="1" min="8" max="8"/>
  </cols>
  <sheetData>
    <row r="1">
      <c r="A1" s="105" t="inlineStr">
        <is>
          <t>Impostazioni</t>
        </is>
      </c>
    </row>
    <row r="2">
      <c r="A2" s="106" t="inlineStr">
        <is>
          <t>Il nome del portafoglio, la data dei prezzi, la soglia di ribilanciamento e i costi.</t>
        </is>
      </c>
    </row>
    <row r="3">
      <c r="A3" s="107" t="inlineStr">
        <is>
          <t>← Torna al Riepilogo</t>
        </is>
      </c>
    </row>
    <row r="4" ht="30" customHeight="1">
      <c r="A4" s="109" t="inlineStr">
        <is>
          <t>Da compilare</t>
        </is>
      </c>
      <c r="B4" s="110" t="inlineStr">
        <is>
          <t>← le celle gialle sono le uniche da personalizzare; tutte le altre si calcolano da sole.</t>
        </is>
      </c>
      <c r="E4" s="139" t="inlineStr">
        <is>
          <t>Classi</t>
        </is>
      </c>
      <c r="F4" s="140" t="inlineStr">
        <is>
          <t>Peso della classe</t>
        </is>
      </c>
      <c r="H4" s="139" t="inlineStr">
        <is>
          <t>Aree geografiche</t>
        </is>
      </c>
    </row>
    <row r="5" ht="32" customHeight="1">
      <c r="A5" s="141" t="inlineStr">
        <is>
          <t>Nome del portafoglio</t>
        </is>
      </c>
      <c r="B5" s="142" t="inlineStr">
        <is>
          <t>Il portafoglio di Elena</t>
        </is>
      </c>
      <c r="C5" s="143" t="inlineStr">
        <is>
          <t>Compare nel titolo del Riepilogo.</t>
        </is>
      </c>
      <c r="E5" s="116" t="inlineStr">
        <is>
          <t>Azionario</t>
        </is>
      </c>
      <c r="F5" s="119" t="n">
        <v>0.65</v>
      </c>
      <c r="H5" s="116" t="inlineStr">
        <is>
          <t>Mondo</t>
        </is>
      </c>
    </row>
    <row r="6" ht="32" customHeight="1">
      <c r="A6" s="141" t="inlineStr">
        <is>
          <t>Prezzi aggiornati al</t>
        </is>
      </c>
      <c r="B6" s="144" t="n">
        <v>46315</v>
      </c>
      <c r="C6" s="143" t="inlineStr">
        <is>
          <t>La data dei prezzi che hai scritto nel foglio ETF: serve per il rendimento annuo.</t>
        </is>
      </c>
      <c r="E6" s="116" t="inlineStr">
        <is>
          <t>Obbligazionario</t>
        </is>
      </c>
      <c r="F6" s="119" t="n">
        <v>0.25</v>
      </c>
      <c r="H6" s="116" t="inlineStr">
        <is>
          <t>USA</t>
        </is>
      </c>
    </row>
    <row r="7" ht="32" customHeight="1">
      <c r="A7" s="141" t="inlineStr">
        <is>
          <t>Data della situazione di partenza</t>
        </is>
      </c>
      <c r="B7" s="144" t="n">
        <v>45596</v>
      </c>
      <c r="C7" s="143" t="inlineStr">
        <is>
          <t>Solo se nel foglio ETF scrivi quote e prezzo medio di partenza: il giorno a cui si riferiscono.</t>
        </is>
      </c>
      <c r="E7" s="116" t="inlineStr">
        <is>
          <t>Materie prime</t>
        </is>
      </c>
      <c r="F7" s="119" t="n">
        <v>0.1</v>
      </c>
      <c r="H7" s="116" t="inlineStr">
        <is>
          <t>Europa</t>
        </is>
      </c>
    </row>
    <row r="8" ht="32" customHeight="1">
      <c r="A8" s="141" t="inlineStr">
        <is>
          <t>Soglia di ribilanciamento</t>
        </is>
      </c>
      <c r="B8" s="145" t="n">
        <v>0.05</v>
      </c>
      <c r="C8" s="143" t="inlineStr">
        <is>
          <t>In punti percentuali: un ETF è «fuori soglia» quando il suo peso si allontana dall’obiettivo di più di così. La regola più usata: 5 punti (scrivi 5%).</t>
        </is>
      </c>
      <c r="E8" s="116" t="inlineStr">
        <is>
          <t>Immobiliare</t>
        </is>
      </c>
      <c r="F8" s="119" t="n"/>
      <c r="H8" s="116" t="inlineStr">
        <is>
          <t>Italia</t>
        </is>
      </c>
    </row>
    <row r="9" ht="32" customHeight="1">
      <c r="A9" s="141" t="inlineStr">
        <is>
          <t>Commissione per ordine</t>
        </is>
      </c>
      <c r="B9" s="146" t="n">
        <v>1</v>
      </c>
      <c r="C9" s="143" t="inlineStr">
        <is>
          <t>Quanto ti costa ogni acquisto o vendita: serve per stimare le commissioni del prossimo versamento.</t>
        </is>
      </c>
      <c r="E9" s="116" t="inlineStr">
        <is>
          <t>Monetario</t>
        </is>
      </c>
      <c r="F9" s="119" t="n"/>
      <c r="H9" s="116" t="inlineStr">
        <is>
          <t>Emergenti</t>
        </is>
      </c>
    </row>
    <row r="10" ht="32" customHeight="1">
      <c r="A10" s="141" t="inlineStr">
        <is>
          <t>Imposta di bollo all’anno</t>
        </is>
      </c>
      <c r="B10" s="147" t="n">
        <v>0.002</v>
      </c>
      <c r="C10" s="143" t="inlineStr">
        <is>
          <t>In Italia lo 0,20% del valore del conto titoli (o l’IVAFE con un broker estero). Scrivi 0% per non contarla.</t>
        </is>
      </c>
      <c r="E10" s="116" t="inlineStr">
        <is>
          <t>Altro</t>
        </is>
      </c>
      <c r="F10" s="119" t="n"/>
      <c r="H10" s="116" t="inlineStr">
        <is>
          <t>Pacifico</t>
        </is>
      </c>
    </row>
    <row r="11" ht="32" customHeight="1">
      <c r="A11" s="141" t="inlineStr">
        <is>
          <t>Pesi obiettivo</t>
        </is>
      </c>
      <c r="B11" s="142" t="inlineStr">
        <is>
          <t>Per classe</t>
        </is>
      </c>
      <c r="C11" s="143" t="inlineStr">
        <is>
          <t>Per ETF: scrivi il peso di ogni ETF nel foglio ETF. Per classe: scrivi qui a destra il peso di ogni classe (per esempio Obbligazionario 20%) e nel foglio ETF come dividerlo tra gli ETF della stessa classe.</t>
        </is>
      </c>
      <c r="E11" s="116" t="n"/>
      <c r="F11" s="119" t="n"/>
      <c r="H11" s="116" t="inlineStr">
        <is>
          <t>Altro</t>
        </is>
      </c>
    </row>
    <row r="12">
      <c r="E12" s="116" t="n"/>
      <c r="F12" s="119" t="n"/>
      <c r="H12" s="116" t="n"/>
    </row>
    <row r="13">
      <c r="E13" s="116" t="n"/>
      <c r="F13" s="119" t="n"/>
      <c r="H13" s="116" t="n"/>
    </row>
    <row r="14">
      <c r="E14" s="116" t="n"/>
      <c r="F14" s="119" t="n"/>
      <c r="H14" s="116" t="n"/>
    </row>
    <row r="15">
      <c r="E15" s="128" t="inlineStr">
        <is>
          <t>Totale</t>
        </is>
      </c>
      <c r="F15" s="148">
        <f>SUM(F5:F14)</f>
        <v>1</v>
      </c>
    </row>
    <row r="16">
      <c r="E16" s="130" t="str">
        <f>IF($B$11&lt;&gt;"Per classe","I pesi delle classi contano solo con «Per classe»",IF(ROUND(F15,4)=1,"✓ i pesi delle classi fanno 100%","⚠ i pesi delle classi devono fare 100%"))</f>
        <v>✓ i pesi delle classi fanno 100%</v>
      </c>
    </row>
    <row r="18">
      <c r="E18" s="110" t="inlineStr">
        <is>
          <t>Classi e aree compaiono nei menu del foglio ETF: cambiale o aggiungine di tue.</t>
        </is>
      </c>
    </row>
  </sheetData>
  <conditionalFormatting sqref="E16:F16">
    <cfRule type="expression" priority="1" dxfId="4">
      <formula>AND($B$11="Per classe",ROUND($F$15,4)&lt;&gt;1)</formula>
    </cfRule>
    <cfRule type="expression" priority="3" dxfId="5">
      <formula>$B$11&lt;&gt;"Per classe"</formula>
    </cfRule>
  </conditionalFormatting>
  <conditionalFormatting sqref="F15">
    <cfRule type="expression" priority="2" dxfId="4">
      <formula>AND($B$11="Per classe",ROUND($F$15,4)&lt;&gt;1)</formula>
    </cfRule>
  </conditionalFormatting>
  <dataValidations count="6">
    <dataValidation sqref="B6:B7" showDropDown="0" showInputMessage="0" showErrorMessage="1" allowBlank="1" errorTitle="Data non valida" error="Scrivi una data, per esempio 20/10/2026." type="date" operator="between">
      <formula1>DATE(2000,1,1)</formula1>
      <formula2>DATE(2100,12,31)</formula2>
    </dataValidation>
    <dataValidation sqref="B8" showDropDown="0" showInputMessage="0" showErrorMessage="1" allowBlank="1" errorTitle="Soglia non valida" error="Scrivi i punti con il simbolo %, per esempio 5%." type="decimal" operator="between">
      <formula1>0</formula1>
      <formula2>1</formula2>
    </dataValidation>
    <dataValidation sqref="B9" showDropDown="0" showInputMessage="0" showErrorMessage="1" allowBlank="1" errorTitle="Importo non valido" error="Scrivi la commissione in euro, anche 0." type="decimal" operator="greaterThanOrEqual">
      <formula1>0</formula1>
    </dataValidation>
    <dataValidation sqref="B11" showDropDown="0" showInputMessage="0" showErrorMessage="1" allowBlank="0" errorTitle="Scegli dal menu" error="Scegli Per ETF o Per classe." type="list">
      <formula1>"Per ETF,Per classe"</formula1>
    </dataValidation>
    <dataValidation sqref="B10" showDropDown="0" showInputMessage="0" showErrorMessage="1" allowBlank="1" errorTitle="Percentuale non valida" error="Scrivi la percentuale con il simbolo %, per esempio 0,2%." type="decimal" operator="between">
      <formula1>0</formula1>
      <formula2>0.05</formula2>
    </dataValidation>
    <dataValidation sqref="F5:F14" showDropDown="0" showInputMessage="0" showErrorMessage="1" allowBlank="1" errorTitle="Percentuale non valida" error="Scrivi il peso con il simbolo %, per esempio 20%." type="decimal" operator="between">
      <formula1>0</formula1>
      <formula2>1</formula2>
    </dataValidation>
  </dataValidations>
  <hyperlinks>
    <hyperlink ref="A3" location="'Riepilogo'!A1" display="← Torna al Riepilogo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G1023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t="inlineStr">
        <is>
          <t>Calcoli (non modificare)</t>
        </is>
      </c>
    </row>
    <row r="6">
      <c r="A6" t="inlineStr">
        <is>
          <t>ETF</t>
        </is>
      </c>
      <c r="B6" t="inlineStr">
        <is>
          <t>Attivo</t>
        </is>
      </c>
      <c r="C6" t="inlineStr">
        <is>
          <t>Quote di partenza</t>
        </is>
      </c>
      <c r="D6" t="inlineStr">
        <is>
          <t>Costo di partenza</t>
        </is>
      </c>
      <c r="E6" t="inlineStr">
        <is>
          <t>Movimenti</t>
        </is>
      </c>
      <c r="F6" t="inlineStr">
        <is>
          <t>Quote</t>
        </is>
      </c>
      <c r="G6" t="inlineStr">
        <is>
          <t>Costo di carico</t>
        </is>
      </c>
      <c r="H6" t="inlineStr">
        <is>
          <t>Prezzo medio</t>
        </is>
      </c>
      <c r="I6" t="inlineStr">
        <is>
          <t>Prezzo</t>
        </is>
      </c>
      <c r="J6" t="inlineStr">
        <is>
          <t>Valore</t>
        </is>
      </c>
      <c r="K6" t="inlineStr">
        <is>
          <t>Peso</t>
        </is>
      </c>
      <c r="L6" t="inlineStr">
        <is>
          <t>Obiettivo</t>
        </is>
      </c>
      <c r="M6" t="inlineStr">
        <is>
          <t>Obiettivo su 100</t>
        </is>
      </c>
      <c r="N6" t="inlineStr">
        <is>
          <t>Scostamento</t>
        </is>
      </c>
      <c r="O6" t="inlineStr">
        <is>
          <t>Guadagno non realizzato</t>
        </is>
      </c>
      <c r="P6" t="inlineStr">
        <is>
          <t>Guadagno realizzato netto</t>
        </is>
      </c>
      <c r="Q6" t="inlineStr">
        <is>
          <t>Dividendi netti</t>
        </is>
      </c>
      <c r="R6" t="inlineStr">
        <is>
          <t>Guadagno totale</t>
        </is>
      </c>
      <c r="S6" t="inlineStr">
        <is>
          <t>Guadagno %</t>
        </is>
      </c>
      <c r="T6" t="inlineStr">
        <is>
          <t>TER</t>
        </is>
      </c>
      <c r="U6" t="inlineStr">
        <is>
          <t>Costo TER €</t>
        </is>
      </c>
      <c r="V6" t="inlineStr">
        <is>
          <t>Aliquota</t>
        </is>
      </c>
      <c r="W6" t="inlineStr">
        <is>
          <t>Stato</t>
        </is>
      </c>
      <c r="X6" t="inlineStr">
        <is>
          <t>Comprato in tutto</t>
        </is>
      </c>
      <c r="Y6" t="inlineStr">
        <is>
          <t>Valore / obiettivo</t>
        </is>
      </c>
      <c r="Z6" t="inlineStr">
        <is>
          <t>Riga</t>
        </is>
      </c>
      <c r="AD6" t="inlineStr">
        <is>
          <t>Data</t>
        </is>
      </c>
      <c r="AE6" t="inlineStr">
        <is>
          <t>Flusso</t>
        </is>
      </c>
    </row>
    <row r="7">
      <c r="A7" t="str">
        <f>IF(ETF!$A7="","",ETF!$A7)</f>
        <v>Azionario Mondo</v>
      </c>
      <c r="B7">
        <f>IF(A7="",0,1)</f>
        <v>1</v>
      </c>
      <c r="C7">
        <f>IF(B7=0,0,N(ETF!$K7))</f>
        <v>40</v>
      </c>
      <c r="D7">
        <f>IF(B7=0,0,ROUND(N(ETF!$K7)*N(ETF!$L7),2))</f>
        <v>3536</v>
      </c>
      <c r="E7">
        <f>IF(B7=0,0,COUNTIFS(Movimenti!$C$5:$C$1004,A7,Movimenti!$B$5:$B$1004,"Acquisto")+COUNTIFS(Movimenti!$C$5:$C$1004,A7,Movimenti!$B$5:$B$1004,"Vendita"))</f>
        <v>21</v>
      </c>
      <c r="F7">
        <f>IF(E7=0,C7,IFERROR(INDEX(Movimenti!$S$5:$S$1004,MATCH(A7&amp;"|"&amp;E7,Movimenti!$O$5:$O$1004,0)),0))</f>
        <v>83</v>
      </c>
      <c r="G7">
        <f>IF(E7=0,D7,IFERROR(INDEX(Movimenti!$T$5:$T$1004,MATCH(A7&amp;"|"&amp;E7,Movimenti!$O$5:$O$1004,0)),0))</f>
        <v>7947.73931034483</v>
      </c>
      <c r="H7">
        <f>IF(F7&gt;0.0000001,G7/F7,"")</f>
        <v>95.7558953053593</v>
      </c>
      <c r="I7">
        <f>IF(B7=0,0,IFERROR(N(ETF!$I7),0))</f>
        <v>113.04</v>
      </c>
      <c r="J7">
        <f>F7*I7</f>
        <v>9382.32</v>
      </c>
      <c r="K7">
        <f>IF($J$22=0,0,J7/$J$22)</f>
        <v>0.549499862073328</v>
      </c>
      <c r="L7">
        <f>IF(B7=0,0,IF(Impostazioni!$B$11="Per classe",IF(ETF!$D7="",0,N(IFERROR(INDEX(Impostazioni!$F$5:$F$14,MATCH(ETF!$D7,Impostazioni!$E$5:$E$14,0)),0))*IF(SUMIFS(ETF!$H$7:$H$21,ETF!$D$7:$D$21,ETF!$D7,ETF!$A$7:$A$21,"&lt;&gt;")&gt;0,N(ETF!$H7)/SUMIFS(ETF!$H$7:$H$21,ETF!$D$7:$D$21,ETF!$D7,ETF!$A$7:$A$21,"&lt;&gt;"),1/MAX(1,COUNTIFS(ETF!$D$7:$D$21,ETF!$D7,ETF!$A$7:$A$21,"&lt;&gt;")))),N(ETF!$H7)))</f>
        <v>0.5525</v>
      </c>
      <c r="M7">
        <f>IF($L$22=0,0,L7/$L$22)</f>
        <v>0.5525</v>
      </c>
      <c r="N7">
        <f>IF(B7=0,0,K7-M7)</f>
        <v>-0.0030001379266722</v>
      </c>
      <c r="O7">
        <f>J7-G7</f>
        <v>1434.58068965517</v>
      </c>
      <c r="P7">
        <f>IF(B7=0,0,SUMIFS(Movimenti!$U$5:$U$1004,Movimenti!$C$5:$C$1004,A7)-SUMIFS(Movimenti!$K$5:$K$1004,Movimenti!$C$5:$C$1004,A7,Movimenti!$B$5:$B$1004,"Vendita"))</f>
        <v>74.8893103448277</v>
      </c>
      <c r="Q7">
        <f>IF(B7=0,0,SUMIFS(Movimenti!$L$5:$L$1004,Movimenti!$C$5:$C$1004,A7,Movimenti!$B$5:$B$1004,"Dividendo"))</f>
        <v>0</v>
      </c>
      <c r="R7">
        <f>O7+P7+Q7</f>
        <v>1509.47</v>
      </c>
      <c r="S7">
        <f>IF(G7&gt;0,O7/G7,"")</f>
        <v>0.180501729314135</v>
      </c>
      <c r="T7">
        <f>IF(B7=0,0,N(ETF!$G7))</f>
        <v>0.002</v>
      </c>
      <c r="U7">
        <f>J7*T7</f>
        <v>18.76464</v>
      </c>
      <c r="V7">
        <f>IF(ETF!$J7="",0.26,N(ETF!$J7))</f>
        <v>0.26</v>
      </c>
      <c r="W7" t="str">
        <f>IF(B7=0,"",IF(AND(J7=0,M7=0),"",IF(ABS(N7)&gt;Impostazioni!$B$8+0.0000001,IF(N7&gt;0,"Sopra","Sotto"),"OK")))</f>
        <v>OK</v>
      </c>
      <c r="X7">
        <f>IF(B7=0,0,D7-SUMIFS(Movimenti!$L$5:$L$1004,Movimenti!$C$5:$C$1004,A7,Movimenti!$B$5:$B$1004,"Acquisto"))</f>
        <v>8519.64</v>
      </c>
      <c r="Y7">
        <f>IF(M7&gt;0,J7/M7,0)</f>
        <v>16981.5746606335</v>
      </c>
      <c r="Z7">
        <f>IF(B7=1,ROW(),"")</f>
        <v>7</v>
      </c>
      <c r="AD7">
        <f>$B$32</f>
        <v>45596.0</v>
      </c>
      <c r="AE7" t="n">
        <v>0</v>
      </c>
      <c r="AG7" t="str">
        <f>IF(AND(B7=1,COUNTIFS(Movimenti!$C$5:$C$1004,A7,Movimenti!$B$5:$B$1004,"Dividendo")&gt;0),ROW(),"")</f>
        <v/>
      </c>
    </row>
    <row r="8">
      <c r="A8" t="str">
        <f>IF(ETF!$A8="","",ETF!$A8)</f>
        <v>Azionario Emergenti</v>
      </c>
      <c r="B8">
        <f>IF(A8="",0,1)</f>
        <v>1</v>
      </c>
      <c r="C8">
        <f>IF(B8=0,0,N(ETF!$K8))</f>
        <v>0</v>
      </c>
      <c r="D8">
        <f>IF(B8=0,0,ROUND(N(ETF!$K8)*N(ETF!$L8),2))</f>
        <v>0</v>
      </c>
      <c r="E8">
        <f>IF(B8=0,0,COUNTIFS(Movimenti!$C$5:$C$1004,A8,Movimenti!$B$5:$B$1004,"Acquisto")+COUNTIFS(Movimenti!$C$5:$C$1004,A8,Movimenti!$B$5:$B$1004,"Vendita"))</f>
        <v>17</v>
      </c>
      <c r="F8">
        <f>IF(E8=0,C8,IFERROR(INDEX(Movimenti!$S$5:$S$1004,MATCH(A8&amp;"|"&amp;E8,Movimenti!$O$5:$O$1004,0)),0))</f>
        <v>38</v>
      </c>
      <c r="G8">
        <f>IF(E8=0,D8,IFERROR(INDEX(Movimenti!$T$5:$T$1004,MATCH(A8&amp;"|"&amp;E8,Movimenti!$O$5:$O$1004,0)),0))</f>
        <v>1636.32</v>
      </c>
      <c r="H8">
        <f>IF(F8&gt;0.0000001,G8/F8,"")</f>
        <v>43.061052631579</v>
      </c>
      <c r="I8">
        <f>IF(B8=0,0,IFERROR(N(ETF!$I8),0))</f>
        <v>43.9</v>
      </c>
      <c r="J8">
        <f>F8*I8</f>
        <v>1668.2</v>
      </c>
      <c r="K8">
        <f>IF($J$22=0,0,J8/$J$22)</f>
        <v>0.0977024520492507</v>
      </c>
      <c r="L8">
        <f>IF(B8=0,0,IF(Impostazioni!$B$11="Per classe",IF(ETF!$D8="",0,N(IFERROR(INDEX(Impostazioni!$F$5:$F$14,MATCH(ETF!$D8,Impostazioni!$E$5:$E$14,0)),0))*IF(SUMIFS(ETF!$H$7:$H$21,ETF!$D$7:$D$21,ETF!$D8,ETF!$A$7:$A$21,"&lt;&gt;")&gt;0,N(ETF!$H8)/SUMIFS(ETF!$H$7:$H$21,ETF!$D$7:$D$21,ETF!$D8,ETF!$A$7:$A$21,"&lt;&gt;"),1/MAX(1,COUNTIFS(ETF!$D$7:$D$21,ETF!$D8,ETF!$A$7:$A$21,"&lt;&gt;")))),N(ETF!$H8)))</f>
        <v>0.0975</v>
      </c>
      <c r="M8">
        <f>IF($L$22=0,0,L8/$L$22)</f>
        <v>0.0975</v>
      </c>
      <c r="N8">
        <f>IF(B8=0,0,K8-M8)</f>
        <v>0.000202452049250651</v>
      </c>
      <c r="O8">
        <f>J8-G8</f>
        <v>31.8799999999999</v>
      </c>
      <c r="P8">
        <f>IF(B8=0,0,SUMIFS(Movimenti!$U$5:$U$1004,Movimenti!$C$5:$C$1004,A8)-SUMIFS(Movimenti!$K$5:$K$1004,Movimenti!$C$5:$C$1004,A8,Movimenti!$B$5:$B$1004,"Vendita"))</f>
        <v>0</v>
      </c>
      <c r="Q8">
        <f>IF(B8=0,0,SUMIFS(Movimenti!$L$5:$L$1004,Movimenti!$C$5:$C$1004,A8,Movimenti!$B$5:$B$1004,"Dividendo"))</f>
        <v>37.66</v>
      </c>
      <c r="R8">
        <f>O8+P8+Q8</f>
        <v>69.5399999999999</v>
      </c>
      <c r="S8">
        <f>IF(G8&gt;0,O8/G8,"")</f>
        <v>0.0194827417620025</v>
      </c>
      <c r="T8">
        <f>IF(B8=0,0,N(ETF!$G8))</f>
        <v>0.0018</v>
      </c>
      <c r="U8">
        <f>J8*T8</f>
        <v>3.00276</v>
      </c>
      <c r="V8">
        <f>IF(ETF!$J8="",0.26,N(ETF!$J8))</f>
        <v>0.26</v>
      </c>
      <c r="W8" t="str">
        <f>IF(B8=0,"",IF(AND(J8=0,M8=0),"",IF(ABS(N8)&gt;Impostazioni!$B$8+0.0000001,IF(N8&gt;0,"Sopra","Sotto"),"OK")))</f>
        <v>OK</v>
      </c>
      <c r="X8">
        <f>IF(B8=0,0,D8-SUMIFS(Movimenti!$L$5:$L$1004,Movimenti!$C$5:$C$1004,A8,Movimenti!$B$5:$B$1004,"Acquisto"))</f>
        <v>1636.32</v>
      </c>
      <c r="Y8">
        <f>IF(M8&gt;0,J8/M8,0)</f>
        <v>17109.7435897436</v>
      </c>
      <c r="Z8">
        <f>IF(B8=1,ROW(),"")</f>
        <v>8</v>
      </c>
      <c r="AD8">
        <f>IF(D7&gt;0,Impostazioni!$B$7,$B$32)</f>
        <v>45596.0</v>
      </c>
      <c r="AE8">
        <f>-D7</f>
        <v>-3536</v>
      </c>
      <c r="AG8">
        <f>IF(AND(B8=1,COUNTIFS(Movimenti!$C$5:$C$1004,A8,Movimenti!$B$5:$B$1004,"Dividendo")&gt;0),ROW(),"")</f>
        <v>8</v>
      </c>
    </row>
    <row r="9">
      <c r="A9" t="str">
        <f>IF(ETF!$A9="","",ETF!$A9)</f>
        <v>Titoli di Stato Euro</v>
      </c>
      <c r="B9">
        <f>IF(A9="",0,1)</f>
        <v>1</v>
      </c>
      <c r="C9">
        <f>IF(B9=0,0,N(ETF!$K9))</f>
        <v>30</v>
      </c>
      <c r="D9">
        <f>IF(B9=0,0,ROUND(N(ETF!$K9)*N(ETF!$L9),2))</f>
        <v>2973</v>
      </c>
      <c r="E9">
        <f>IF(B9=0,0,COUNTIFS(Movimenti!$C$5:$C$1004,A9,Movimenti!$B$5:$B$1004,"Acquisto")+COUNTIFS(Movimenti!$C$5:$C$1004,A9,Movimenti!$B$5:$B$1004,"Vendita"))</f>
        <v>9</v>
      </c>
      <c r="F9">
        <f>IF(E9=0,C9,IFERROR(INDEX(Movimenti!$S$5:$S$1004,MATCH(A9&amp;"|"&amp;E9,Movimenti!$O$5:$O$1004,0)),0))</f>
        <v>41</v>
      </c>
      <c r="G9">
        <f>IF(E9=0,D9,IFERROR(INDEX(Movimenti!$T$5:$T$1004,MATCH(A9&amp;"|"&amp;E9,Movimenti!$O$5:$O$1004,0)),0))</f>
        <v>4136.31</v>
      </c>
      <c r="H9">
        <f>IF(F9&gt;0.0000001,G9/F9,"")</f>
        <v>100.885609756098</v>
      </c>
      <c r="I9">
        <f>IF(B9=0,0,IFERROR(N(ETF!$I9),0))</f>
        <v>104.84</v>
      </c>
      <c r="J9">
        <f>F9*I9</f>
        <v>4298.44</v>
      </c>
      <c r="K9">
        <f>IF($J$22=0,0,J9/$J$22)</f>
        <v>0.25174926746588</v>
      </c>
      <c r="L9">
        <f>IF(B9=0,0,IF(Impostazioni!$B$11="Per classe",IF(ETF!$D9="",0,N(IFERROR(INDEX(Impostazioni!$F$5:$F$14,MATCH(ETF!$D9,Impostazioni!$E$5:$E$14,0)),0))*IF(SUMIFS(ETF!$H$7:$H$21,ETF!$D$7:$D$21,ETF!$D9,ETF!$A$7:$A$21,"&lt;&gt;")&gt;0,N(ETF!$H9)/SUMIFS(ETF!$H$7:$H$21,ETF!$D$7:$D$21,ETF!$D9,ETF!$A$7:$A$21,"&lt;&gt;"),1/MAX(1,COUNTIFS(ETF!$D$7:$D$21,ETF!$D9,ETF!$A$7:$A$21,"&lt;&gt;")))),N(ETF!$H9)))</f>
        <v>0.25</v>
      </c>
      <c r="M9">
        <f>IF($L$22=0,0,L9/$L$22)</f>
        <v>0.25</v>
      </c>
      <c r="N9">
        <f>IF(B9=0,0,K9-M9)</f>
        <v>0.00174926746588</v>
      </c>
      <c r="O9">
        <f>J9-G9</f>
        <v>162.13</v>
      </c>
      <c r="P9">
        <f>IF(B9=0,0,SUMIFS(Movimenti!$U$5:$U$1004,Movimenti!$C$5:$C$1004,A9)-SUMIFS(Movimenti!$K$5:$K$1004,Movimenti!$C$5:$C$1004,A9,Movimenti!$B$5:$B$1004,"Vendita"))</f>
        <v>0</v>
      </c>
      <c r="Q9">
        <f>IF(B9=0,0,SUMIFS(Movimenti!$L$5:$L$1004,Movimenti!$C$5:$C$1004,A9,Movimenti!$B$5:$B$1004,"Dividendo"))</f>
        <v>70.51</v>
      </c>
      <c r="R9">
        <f>O9+P9+Q9</f>
        <v>232.64</v>
      </c>
      <c r="S9">
        <f>IF(G9&gt;0,O9/G9,"")</f>
        <v>0.0391967720020985</v>
      </c>
      <c r="T9">
        <f>IF(B9=0,0,N(ETF!$G9))</f>
        <v>0.0015</v>
      </c>
      <c r="U9">
        <f>J9*T9</f>
        <v>6.44766</v>
      </c>
      <c r="V9">
        <f>IF(ETF!$J9="",0.26,N(ETF!$J9))</f>
        <v>0.125</v>
      </c>
      <c r="W9" t="str">
        <f>IF(B9=0,"",IF(AND(J9=0,M9=0),"",IF(ABS(N9)&gt;Impostazioni!$B$8+0.0000001,IF(N9&gt;0,"Sopra","Sotto"),"OK")))</f>
        <v>OK</v>
      </c>
      <c r="X9">
        <f>IF(B9=0,0,D9-SUMIFS(Movimenti!$L$5:$L$1004,Movimenti!$C$5:$C$1004,A9,Movimenti!$B$5:$B$1004,"Acquisto"))</f>
        <v>4136.31</v>
      </c>
      <c r="Y9">
        <f>IF(M9&gt;0,J9/M9,0)</f>
        <v>17193.76</v>
      </c>
      <c r="Z9">
        <f>IF(B9=1,ROW(),"")</f>
        <v>9</v>
      </c>
      <c r="AD9">
        <f>IF(D8&gt;0,Impostazioni!$B$7,$B$32)</f>
        <v>45596.0</v>
      </c>
      <c r="AE9">
        <f>-D8</f>
        <v>0</v>
      </c>
      <c r="AG9">
        <f>IF(AND(B9=1,COUNTIFS(Movimenti!$C$5:$C$1004,A9,Movimenti!$B$5:$B$1004,"Dividendo")&gt;0),ROW(),"")</f>
        <v>9</v>
      </c>
    </row>
    <row r="10">
      <c r="A10" t="str">
        <f>IF(ETF!$A10="","",ETF!$A10)</f>
        <v>Oro</v>
      </c>
      <c r="B10">
        <f>IF(A10="",0,1)</f>
        <v>1</v>
      </c>
      <c r="C10">
        <f>IF(B10=0,0,N(ETF!$K10))</f>
        <v>0</v>
      </c>
      <c r="D10">
        <f>IF(B10=0,0,ROUND(N(ETF!$K10)*N(ETF!$L10),2))</f>
        <v>0</v>
      </c>
      <c r="E10">
        <f>IF(B10=0,0,COUNTIFS(Movimenti!$C$5:$C$1004,A10,Movimenti!$B$5:$B$1004,"Acquisto")+COUNTIFS(Movimenti!$C$5:$C$1004,A10,Movimenti!$B$5:$B$1004,"Vendita"))</f>
        <v>10</v>
      </c>
      <c r="F10">
        <f>IF(E10=0,C10,IFERROR(INDEX(Movimenti!$S$5:$S$1004,MATCH(A10&amp;"|"&amp;E10,Movimenti!$O$5:$O$1004,0)),0))</f>
        <v>17</v>
      </c>
      <c r="G10">
        <f>IF(E10=0,D10,IFERROR(INDEX(Movimenti!$T$5:$T$1004,MATCH(A10&amp;"|"&amp;E10,Movimenti!$O$5:$O$1004,0)),0))</f>
        <v>1063.42</v>
      </c>
      <c r="H10">
        <f>IF(F10&gt;0.0000001,G10/F10,"")</f>
        <v>62.5541176470588</v>
      </c>
      <c r="I10">
        <f>IF(B10=0,0,IFERROR(N(ETF!$I10),0))</f>
        <v>101.49</v>
      </c>
      <c r="J10">
        <f>F10*I10</f>
        <v>1725.33</v>
      </c>
      <c r="K10">
        <f>IF($J$22=0,0,J10/$J$22)</f>
        <v>0.101048418411542</v>
      </c>
      <c r="L10">
        <f>IF(B10=0,0,IF(Impostazioni!$B$11="Per classe",IF(ETF!$D10="",0,N(IFERROR(INDEX(Impostazioni!$F$5:$F$14,MATCH(ETF!$D10,Impostazioni!$E$5:$E$14,0)),0))*IF(SUMIFS(ETF!$H$7:$H$21,ETF!$D$7:$D$21,ETF!$D10,ETF!$A$7:$A$21,"&lt;&gt;")&gt;0,N(ETF!$H10)/SUMIFS(ETF!$H$7:$H$21,ETF!$D$7:$D$21,ETF!$D10,ETF!$A$7:$A$21,"&lt;&gt;"),1/MAX(1,COUNTIFS(ETF!$D$7:$D$21,ETF!$D10,ETF!$A$7:$A$21,"&lt;&gt;")))),N(ETF!$H10)))</f>
        <v>0.1</v>
      </c>
      <c r="M10">
        <f>IF($L$22=0,0,L10/$L$22)</f>
        <v>0.1</v>
      </c>
      <c r="N10">
        <f>IF(B10=0,0,K10-M10)</f>
        <v>0.00104841841154155</v>
      </c>
      <c r="O10">
        <f>J10-G10</f>
        <v>661.91</v>
      </c>
      <c r="P10">
        <f>IF(B10=0,0,SUMIFS(Movimenti!$U$5:$U$1004,Movimenti!$C$5:$C$1004,A10)-SUMIFS(Movimenti!$K$5:$K$1004,Movimenti!$C$5:$C$1004,A10,Movimenti!$B$5:$B$1004,"Vendita"))</f>
        <v>0</v>
      </c>
      <c r="Q10">
        <f>IF(B10=0,0,SUMIFS(Movimenti!$L$5:$L$1004,Movimenti!$C$5:$C$1004,A10,Movimenti!$B$5:$B$1004,"Dividendo"))</f>
        <v>0</v>
      </c>
      <c r="R10">
        <f>O10+P10+Q10</f>
        <v>661.91</v>
      </c>
      <c r="S10">
        <f>IF(G10&gt;0,O10/G10,"")</f>
        <v>0.622435162024412</v>
      </c>
      <c r="T10">
        <f>IF(B10=0,0,N(ETF!$G10))</f>
        <v>0.0012</v>
      </c>
      <c r="U10">
        <f>J10*T10</f>
        <v>2.070396</v>
      </c>
      <c r="V10">
        <f>IF(ETF!$J10="",0.26,N(ETF!$J10))</f>
        <v>0.26</v>
      </c>
      <c r="W10" t="str">
        <f>IF(B10=0,"",IF(AND(J10=0,M10=0),"",IF(ABS(N10)&gt;Impostazioni!$B$8+0.0000001,IF(N10&gt;0,"Sopra","Sotto"),"OK")))</f>
        <v>OK</v>
      </c>
      <c r="X10">
        <f>IF(B10=0,0,D10-SUMIFS(Movimenti!$L$5:$L$1004,Movimenti!$C$5:$C$1004,A10,Movimenti!$B$5:$B$1004,"Acquisto"))</f>
        <v>1063.42</v>
      </c>
      <c r="Y10">
        <f>IF(M10&gt;0,J10/M10,0)</f>
        <v>17253.3</v>
      </c>
      <c r="Z10">
        <f>IF(B10=1,ROW(),"")</f>
        <v>10</v>
      </c>
      <c r="AD10">
        <f>IF(D9&gt;0,Impostazioni!$B$7,$B$32)</f>
        <v>45596.0</v>
      </c>
      <c r="AE10">
        <f>-D9</f>
        <v>-2973</v>
      </c>
      <c r="AG10" t="str">
        <f>IF(AND(B10=1,COUNTIFS(Movimenti!$C$5:$C$1004,A10,Movimenti!$B$5:$B$1004,"Dividendo")&gt;0),ROW(),"")</f>
        <v/>
      </c>
    </row>
    <row r="11">
      <c r="A11" t="str">
        <f>IF(ETF!$A11="","",ETF!$A11)</f>
        <v/>
      </c>
      <c r="B11">
        <f>IF(A11="",0,1)</f>
        <v>0</v>
      </c>
      <c r="C11">
        <f>IF(B11=0,0,N(ETF!$K11))</f>
        <v>0</v>
      </c>
      <c r="D11">
        <f>IF(B11=0,0,ROUND(N(ETF!$K11)*N(ETF!$L11),2))</f>
        <v>0</v>
      </c>
      <c r="E11">
        <f>IF(B11=0,0,COUNTIFS(Movimenti!$C$5:$C$1004,A11,Movimenti!$B$5:$B$1004,"Acquisto")+COUNTIFS(Movimenti!$C$5:$C$1004,A11,Movimenti!$B$5:$B$1004,"Vendita"))</f>
        <v>0</v>
      </c>
      <c r="F11">
        <f>IF(E11=0,C11,IFERROR(INDEX(Movimenti!$S$5:$S$1004,MATCH(A11&amp;"|"&amp;E11,Movimenti!$O$5:$O$1004,0)),0))</f>
        <v>0</v>
      </c>
      <c r="G11">
        <f>IF(E11=0,D11,IFERROR(INDEX(Movimenti!$T$5:$T$1004,MATCH(A11&amp;"|"&amp;E11,Movimenti!$O$5:$O$1004,0)),0))</f>
        <v>0</v>
      </c>
      <c r="H11" t="str">
        <f>IF(F11&gt;0.0000001,G11/F11,"")</f>
        <v/>
      </c>
      <c r="I11">
        <f>IF(B11=0,0,IFERROR(N(ETF!$I11),0))</f>
        <v>0</v>
      </c>
      <c r="J11">
        <f>F11*I11</f>
        <v>0</v>
      </c>
      <c r="K11">
        <f>IF($J$22=0,0,J11/$J$22)</f>
        <v>0</v>
      </c>
      <c r="L11">
        <f>IF(B11=0,0,IF(Impostazioni!$B$11="Per classe",IF(ETF!$D11="",0,N(IFERROR(INDEX(Impostazioni!$F$5:$F$14,MATCH(ETF!$D11,Impostazioni!$E$5:$E$14,0)),0))*IF(SUMIFS(ETF!$H$7:$H$21,ETF!$D$7:$D$21,ETF!$D11,ETF!$A$7:$A$21,"&lt;&gt;")&gt;0,N(ETF!$H11)/SUMIFS(ETF!$H$7:$H$21,ETF!$D$7:$D$21,ETF!$D11,ETF!$A$7:$A$21,"&lt;&gt;"),1/MAX(1,COUNTIFS(ETF!$D$7:$D$21,ETF!$D11,ETF!$A$7:$A$21,"&lt;&gt;")))),N(ETF!$H11)))</f>
        <v>0</v>
      </c>
      <c r="M11">
        <f>IF($L$22=0,0,L11/$L$22)</f>
        <v>0</v>
      </c>
      <c r="N11">
        <f>IF(B11=0,0,K11-M11)</f>
        <v>0</v>
      </c>
      <c r="O11">
        <f>J11-G11</f>
        <v>0</v>
      </c>
      <c r="P11">
        <f>IF(B11=0,0,SUMIFS(Movimenti!$U$5:$U$1004,Movimenti!$C$5:$C$1004,A11)-SUMIFS(Movimenti!$K$5:$K$1004,Movimenti!$C$5:$C$1004,A11,Movimenti!$B$5:$B$1004,"Vendita"))</f>
        <v>0</v>
      </c>
      <c r="Q11">
        <f>IF(B11=0,0,SUMIFS(Movimenti!$L$5:$L$1004,Movimenti!$C$5:$C$1004,A11,Movimenti!$B$5:$B$1004,"Dividendo"))</f>
        <v>0</v>
      </c>
      <c r="R11">
        <f>O11+P11+Q11</f>
        <v>0</v>
      </c>
      <c r="S11" t="str">
        <f>IF(G11&gt;0,O11/G11,"")</f>
        <v/>
      </c>
      <c r="T11">
        <f>IF(B11=0,0,N(ETF!$G11))</f>
        <v>0</v>
      </c>
      <c r="U11">
        <f>J11*T11</f>
        <v>0</v>
      </c>
      <c r="V11">
        <f>IF(ETF!$J11="",0.26,N(ETF!$J11))</f>
        <v>0.26</v>
      </c>
      <c r="W11" t="str">
        <f>IF(B11=0,"",IF(AND(J11=0,M11=0),"",IF(ABS(N11)&gt;Impostazioni!$B$8+0.0000001,IF(N11&gt;0,"Sopra","Sotto"),"OK")))</f>
        <v/>
      </c>
      <c r="X11">
        <f>IF(B11=0,0,D11-SUMIFS(Movimenti!$L$5:$L$1004,Movimenti!$C$5:$C$1004,A11,Movimenti!$B$5:$B$1004,"Acquisto"))</f>
        <v>0</v>
      </c>
      <c r="Y11">
        <f>IF(M11&gt;0,J11/M11,0)</f>
        <v>0</v>
      </c>
      <c r="Z11" t="str">
        <f>IF(B11=1,ROW(),"")</f>
        <v/>
      </c>
      <c r="AD11">
        <f>IF(D10&gt;0,Impostazioni!$B$7,$B$32)</f>
        <v>45596.0</v>
      </c>
      <c r="AE11">
        <f>-D10</f>
        <v>0</v>
      </c>
      <c r="AG11" t="str">
        <f>IF(AND(B11=1,COUNTIFS(Movimenti!$C$5:$C$1004,A11,Movimenti!$B$5:$B$1004,"Dividendo")&gt;0),ROW(),"")</f>
        <v/>
      </c>
    </row>
    <row r="12">
      <c r="A12" t="str">
        <f>IF(ETF!$A12="","",ETF!$A12)</f>
        <v/>
      </c>
      <c r="B12">
        <f>IF(A12="",0,1)</f>
        <v>0</v>
      </c>
      <c r="C12">
        <f>IF(B12=0,0,N(ETF!$K12))</f>
        <v>0</v>
      </c>
      <c r="D12">
        <f>IF(B12=0,0,ROUND(N(ETF!$K12)*N(ETF!$L12),2))</f>
        <v>0</v>
      </c>
      <c r="E12">
        <f>IF(B12=0,0,COUNTIFS(Movimenti!$C$5:$C$1004,A12,Movimenti!$B$5:$B$1004,"Acquisto")+COUNTIFS(Movimenti!$C$5:$C$1004,A12,Movimenti!$B$5:$B$1004,"Vendita"))</f>
        <v>0</v>
      </c>
      <c r="F12">
        <f>IF(E12=0,C12,IFERROR(INDEX(Movimenti!$S$5:$S$1004,MATCH(A12&amp;"|"&amp;E12,Movimenti!$O$5:$O$1004,0)),0))</f>
        <v>0</v>
      </c>
      <c r="G12">
        <f>IF(E12=0,D12,IFERROR(INDEX(Movimenti!$T$5:$T$1004,MATCH(A12&amp;"|"&amp;E12,Movimenti!$O$5:$O$1004,0)),0))</f>
        <v>0</v>
      </c>
      <c r="H12" t="str">
        <f>IF(F12&gt;0.0000001,G12/F12,"")</f>
        <v/>
      </c>
      <c r="I12">
        <f>IF(B12=0,0,IFERROR(N(ETF!$I12),0))</f>
        <v>0</v>
      </c>
      <c r="J12">
        <f>F12*I12</f>
        <v>0</v>
      </c>
      <c r="K12">
        <f>IF($J$22=0,0,J12/$J$22)</f>
        <v>0</v>
      </c>
      <c r="L12">
        <f>IF(B12=0,0,IF(Impostazioni!$B$11="Per classe",IF(ETF!$D12="",0,N(IFERROR(INDEX(Impostazioni!$F$5:$F$14,MATCH(ETF!$D12,Impostazioni!$E$5:$E$14,0)),0))*IF(SUMIFS(ETF!$H$7:$H$21,ETF!$D$7:$D$21,ETF!$D12,ETF!$A$7:$A$21,"&lt;&gt;")&gt;0,N(ETF!$H12)/SUMIFS(ETF!$H$7:$H$21,ETF!$D$7:$D$21,ETF!$D12,ETF!$A$7:$A$21,"&lt;&gt;"),1/MAX(1,COUNTIFS(ETF!$D$7:$D$21,ETF!$D12,ETF!$A$7:$A$21,"&lt;&gt;")))),N(ETF!$H12)))</f>
        <v>0</v>
      </c>
      <c r="M12">
        <f>IF($L$22=0,0,L12/$L$22)</f>
        <v>0</v>
      </c>
      <c r="N12">
        <f>IF(B12=0,0,K12-M12)</f>
        <v>0</v>
      </c>
      <c r="O12">
        <f>J12-G12</f>
        <v>0</v>
      </c>
      <c r="P12">
        <f>IF(B12=0,0,SUMIFS(Movimenti!$U$5:$U$1004,Movimenti!$C$5:$C$1004,A12)-SUMIFS(Movimenti!$K$5:$K$1004,Movimenti!$C$5:$C$1004,A12,Movimenti!$B$5:$B$1004,"Vendita"))</f>
        <v>0</v>
      </c>
      <c r="Q12">
        <f>IF(B12=0,0,SUMIFS(Movimenti!$L$5:$L$1004,Movimenti!$C$5:$C$1004,A12,Movimenti!$B$5:$B$1004,"Dividendo"))</f>
        <v>0</v>
      </c>
      <c r="R12">
        <f>O12+P12+Q12</f>
        <v>0</v>
      </c>
      <c r="S12" t="str">
        <f>IF(G12&gt;0,O12/G12,"")</f>
        <v/>
      </c>
      <c r="T12">
        <f>IF(B12=0,0,N(ETF!$G12))</f>
        <v>0</v>
      </c>
      <c r="U12">
        <f>J12*T12</f>
        <v>0</v>
      </c>
      <c r="V12">
        <f>IF(ETF!$J12="",0.26,N(ETF!$J12))</f>
        <v>0.26</v>
      </c>
      <c r="W12" t="str">
        <f>IF(B12=0,"",IF(AND(J12=0,M12=0),"",IF(ABS(N12)&gt;Impostazioni!$B$8+0.0000001,IF(N12&gt;0,"Sopra","Sotto"),"OK")))</f>
        <v/>
      </c>
      <c r="X12">
        <f>IF(B12=0,0,D12-SUMIFS(Movimenti!$L$5:$L$1004,Movimenti!$C$5:$C$1004,A12,Movimenti!$B$5:$B$1004,"Acquisto"))</f>
        <v>0</v>
      </c>
      <c r="Y12">
        <f>IF(M12&gt;0,J12/M12,0)</f>
        <v>0</v>
      </c>
      <c r="Z12" t="str">
        <f>IF(B12=1,ROW(),"")</f>
        <v/>
      </c>
      <c r="AD12">
        <f>IF(D11&gt;0,Impostazioni!$B$7,$B$32)</f>
        <v>45596.0</v>
      </c>
      <c r="AE12">
        <f>-D11</f>
        <v>0</v>
      </c>
      <c r="AG12" t="str">
        <f>IF(AND(B12=1,COUNTIFS(Movimenti!$C$5:$C$1004,A12,Movimenti!$B$5:$B$1004,"Dividendo")&gt;0),ROW(),"")</f>
        <v/>
      </c>
    </row>
    <row r="13">
      <c r="A13" t="str">
        <f>IF(ETF!$A13="","",ETF!$A13)</f>
        <v/>
      </c>
      <c r="B13">
        <f>IF(A13="",0,1)</f>
        <v>0</v>
      </c>
      <c r="C13">
        <f>IF(B13=0,0,N(ETF!$K13))</f>
        <v>0</v>
      </c>
      <c r="D13">
        <f>IF(B13=0,0,ROUND(N(ETF!$K13)*N(ETF!$L13),2))</f>
        <v>0</v>
      </c>
      <c r="E13">
        <f>IF(B13=0,0,COUNTIFS(Movimenti!$C$5:$C$1004,A13,Movimenti!$B$5:$B$1004,"Acquisto")+COUNTIFS(Movimenti!$C$5:$C$1004,A13,Movimenti!$B$5:$B$1004,"Vendita"))</f>
        <v>0</v>
      </c>
      <c r="F13">
        <f>IF(E13=0,C13,IFERROR(INDEX(Movimenti!$S$5:$S$1004,MATCH(A13&amp;"|"&amp;E13,Movimenti!$O$5:$O$1004,0)),0))</f>
        <v>0</v>
      </c>
      <c r="G13">
        <f>IF(E13=0,D13,IFERROR(INDEX(Movimenti!$T$5:$T$1004,MATCH(A13&amp;"|"&amp;E13,Movimenti!$O$5:$O$1004,0)),0))</f>
        <v>0</v>
      </c>
      <c r="H13" t="str">
        <f>IF(F13&gt;0.0000001,G13/F13,"")</f>
        <v/>
      </c>
      <c r="I13">
        <f>IF(B13=0,0,IFERROR(N(ETF!$I13),0))</f>
        <v>0</v>
      </c>
      <c r="J13">
        <f>F13*I13</f>
        <v>0</v>
      </c>
      <c r="K13">
        <f>IF($J$22=0,0,J13/$J$22)</f>
        <v>0</v>
      </c>
      <c r="L13">
        <f>IF(B13=0,0,IF(Impostazioni!$B$11="Per classe",IF(ETF!$D13="",0,N(IFERROR(INDEX(Impostazioni!$F$5:$F$14,MATCH(ETF!$D13,Impostazioni!$E$5:$E$14,0)),0))*IF(SUMIFS(ETF!$H$7:$H$21,ETF!$D$7:$D$21,ETF!$D13,ETF!$A$7:$A$21,"&lt;&gt;")&gt;0,N(ETF!$H13)/SUMIFS(ETF!$H$7:$H$21,ETF!$D$7:$D$21,ETF!$D13,ETF!$A$7:$A$21,"&lt;&gt;"),1/MAX(1,COUNTIFS(ETF!$D$7:$D$21,ETF!$D13,ETF!$A$7:$A$21,"&lt;&gt;")))),N(ETF!$H13)))</f>
        <v>0</v>
      </c>
      <c r="M13">
        <f>IF($L$22=0,0,L13/$L$22)</f>
        <v>0</v>
      </c>
      <c r="N13">
        <f>IF(B13=0,0,K13-M13)</f>
        <v>0</v>
      </c>
      <c r="O13">
        <f>J13-G13</f>
        <v>0</v>
      </c>
      <c r="P13">
        <f>IF(B13=0,0,SUMIFS(Movimenti!$U$5:$U$1004,Movimenti!$C$5:$C$1004,A13)-SUMIFS(Movimenti!$K$5:$K$1004,Movimenti!$C$5:$C$1004,A13,Movimenti!$B$5:$B$1004,"Vendita"))</f>
        <v>0</v>
      </c>
      <c r="Q13">
        <f>IF(B13=0,0,SUMIFS(Movimenti!$L$5:$L$1004,Movimenti!$C$5:$C$1004,A13,Movimenti!$B$5:$B$1004,"Dividendo"))</f>
        <v>0</v>
      </c>
      <c r="R13">
        <f>O13+P13+Q13</f>
        <v>0</v>
      </c>
      <c r="S13" t="str">
        <f>IF(G13&gt;0,O13/G13,"")</f>
        <v/>
      </c>
      <c r="T13">
        <f>IF(B13=0,0,N(ETF!$G13))</f>
        <v>0</v>
      </c>
      <c r="U13">
        <f>J13*T13</f>
        <v>0</v>
      </c>
      <c r="V13">
        <f>IF(ETF!$J13="",0.26,N(ETF!$J13))</f>
        <v>0.26</v>
      </c>
      <c r="W13" t="str">
        <f>IF(B13=0,"",IF(AND(J13=0,M13=0),"",IF(ABS(N13)&gt;Impostazioni!$B$8+0.0000001,IF(N13&gt;0,"Sopra","Sotto"),"OK")))</f>
        <v/>
      </c>
      <c r="X13">
        <f>IF(B13=0,0,D13-SUMIFS(Movimenti!$L$5:$L$1004,Movimenti!$C$5:$C$1004,A13,Movimenti!$B$5:$B$1004,"Acquisto"))</f>
        <v>0</v>
      </c>
      <c r="Y13">
        <f>IF(M13&gt;0,J13/M13,0)</f>
        <v>0</v>
      </c>
      <c r="Z13" t="str">
        <f>IF(B13=1,ROW(),"")</f>
        <v/>
      </c>
      <c r="AD13">
        <f>IF(D12&gt;0,Impostazioni!$B$7,$B$32)</f>
        <v>45596.0</v>
      </c>
      <c r="AE13">
        <f>-D12</f>
        <v>0</v>
      </c>
      <c r="AG13" t="str">
        <f>IF(AND(B13=1,COUNTIFS(Movimenti!$C$5:$C$1004,A13,Movimenti!$B$5:$B$1004,"Dividendo")&gt;0),ROW(),"")</f>
        <v/>
      </c>
    </row>
    <row r="14">
      <c r="A14" t="str">
        <f>IF(ETF!$A14="","",ETF!$A14)</f>
        <v/>
      </c>
      <c r="B14">
        <f>IF(A14="",0,1)</f>
        <v>0</v>
      </c>
      <c r="C14">
        <f>IF(B14=0,0,N(ETF!$K14))</f>
        <v>0</v>
      </c>
      <c r="D14">
        <f>IF(B14=0,0,ROUND(N(ETF!$K14)*N(ETF!$L14),2))</f>
        <v>0</v>
      </c>
      <c r="E14">
        <f>IF(B14=0,0,COUNTIFS(Movimenti!$C$5:$C$1004,A14,Movimenti!$B$5:$B$1004,"Acquisto")+COUNTIFS(Movimenti!$C$5:$C$1004,A14,Movimenti!$B$5:$B$1004,"Vendita"))</f>
        <v>0</v>
      </c>
      <c r="F14">
        <f>IF(E14=0,C14,IFERROR(INDEX(Movimenti!$S$5:$S$1004,MATCH(A14&amp;"|"&amp;E14,Movimenti!$O$5:$O$1004,0)),0))</f>
        <v>0</v>
      </c>
      <c r="G14">
        <f>IF(E14=0,D14,IFERROR(INDEX(Movimenti!$T$5:$T$1004,MATCH(A14&amp;"|"&amp;E14,Movimenti!$O$5:$O$1004,0)),0))</f>
        <v>0</v>
      </c>
      <c r="H14" t="str">
        <f>IF(F14&gt;0.0000001,G14/F14,"")</f>
        <v/>
      </c>
      <c r="I14">
        <f>IF(B14=0,0,IFERROR(N(ETF!$I14),0))</f>
        <v>0</v>
      </c>
      <c r="J14">
        <f>F14*I14</f>
        <v>0</v>
      </c>
      <c r="K14">
        <f>IF($J$22=0,0,J14/$J$22)</f>
        <v>0</v>
      </c>
      <c r="L14">
        <f>IF(B14=0,0,IF(Impostazioni!$B$11="Per classe",IF(ETF!$D14="",0,N(IFERROR(INDEX(Impostazioni!$F$5:$F$14,MATCH(ETF!$D14,Impostazioni!$E$5:$E$14,0)),0))*IF(SUMIFS(ETF!$H$7:$H$21,ETF!$D$7:$D$21,ETF!$D14,ETF!$A$7:$A$21,"&lt;&gt;")&gt;0,N(ETF!$H14)/SUMIFS(ETF!$H$7:$H$21,ETF!$D$7:$D$21,ETF!$D14,ETF!$A$7:$A$21,"&lt;&gt;"),1/MAX(1,COUNTIFS(ETF!$D$7:$D$21,ETF!$D14,ETF!$A$7:$A$21,"&lt;&gt;")))),N(ETF!$H14)))</f>
        <v>0</v>
      </c>
      <c r="M14">
        <f>IF($L$22=0,0,L14/$L$22)</f>
        <v>0</v>
      </c>
      <c r="N14">
        <f>IF(B14=0,0,K14-M14)</f>
        <v>0</v>
      </c>
      <c r="O14">
        <f>J14-G14</f>
        <v>0</v>
      </c>
      <c r="P14">
        <f>IF(B14=0,0,SUMIFS(Movimenti!$U$5:$U$1004,Movimenti!$C$5:$C$1004,A14)-SUMIFS(Movimenti!$K$5:$K$1004,Movimenti!$C$5:$C$1004,A14,Movimenti!$B$5:$B$1004,"Vendita"))</f>
        <v>0</v>
      </c>
      <c r="Q14">
        <f>IF(B14=0,0,SUMIFS(Movimenti!$L$5:$L$1004,Movimenti!$C$5:$C$1004,A14,Movimenti!$B$5:$B$1004,"Dividendo"))</f>
        <v>0</v>
      </c>
      <c r="R14">
        <f>O14+P14+Q14</f>
        <v>0</v>
      </c>
      <c r="S14" t="str">
        <f>IF(G14&gt;0,O14/G14,"")</f>
        <v/>
      </c>
      <c r="T14">
        <f>IF(B14=0,0,N(ETF!$G14))</f>
        <v>0</v>
      </c>
      <c r="U14">
        <f>J14*T14</f>
        <v>0</v>
      </c>
      <c r="V14">
        <f>IF(ETF!$J14="",0.26,N(ETF!$J14))</f>
        <v>0.26</v>
      </c>
      <c r="W14" t="str">
        <f>IF(B14=0,"",IF(AND(J14=0,M14=0),"",IF(ABS(N14)&gt;Impostazioni!$B$8+0.0000001,IF(N14&gt;0,"Sopra","Sotto"),"OK")))</f>
        <v/>
      </c>
      <c r="X14">
        <f>IF(B14=0,0,D14-SUMIFS(Movimenti!$L$5:$L$1004,Movimenti!$C$5:$C$1004,A14,Movimenti!$B$5:$B$1004,"Acquisto"))</f>
        <v>0</v>
      </c>
      <c r="Y14">
        <f>IF(M14&gt;0,J14/M14,0)</f>
        <v>0</v>
      </c>
      <c r="Z14" t="str">
        <f>IF(B14=1,ROW(),"")</f>
        <v/>
      </c>
      <c r="AD14">
        <f>IF(D13&gt;0,Impostazioni!$B$7,$B$32)</f>
        <v>45596.0</v>
      </c>
      <c r="AE14">
        <f>-D13</f>
        <v>0</v>
      </c>
      <c r="AG14" t="str">
        <f>IF(AND(B14=1,COUNTIFS(Movimenti!$C$5:$C$1004,A14,Movimenti!$B$5:$B$1004,"Dividendo")&gt;0),ROW(),"")</f>
        <v/>
      </c>
    </row>
    <row r="15">
      <c r="A15" t="str">
        <f>IF(ETF!$A15="","",ETF!$A15)</f>
        <v/>
      </c>
      <c r="B15">
        <f>IF(A15="",0,1)</f>
        <v>0</v>
      </c>
      <c r="C15">
        <f>IF(B15=0,0,N(ETF!$K15))</f>
        <v>0</v>
      </c>
      <c r="D15">
        <f>IF(B15=0,0,ROUND(N(ETF!$K15)*N(ETF!$L15),2))</f>
        <v>0</v>
      </c>
      <c r="E15">
        <f>IF(B15=0,0,COUNTIFS(Movimenti!$C$5:$C$1004,A15,Movimenti!$B$5:$B$1004,"Acquisto")+COUNTIFS(Movimenti!$C$5:$C$1004,A15,Movimenti!$B$5:$B$1004,"Vendita"))</f>
        <v>0</v>
      </c>
      <c r="F15">
        <f>IF(E15=0,C15,IFERROR(INDEX(Movimenti!$S$5:$S$1004,MATCH(A15&amp;"|"&amp;E15,Movimenti!$O$5:$O$1004,0)),0))</f>
        <v>0</v>
      </c>
      <c r="G15">
        <f>IF(E15=0,D15,IFERROR(INDEX(Movimenti!$T$5:$T$1004,MATCH(A15&amp;"|"&amp;E15,Movimenti!$O$5:$O$1004,0)),0))</f>
        <v>0</v>
      </c>
      <c r="H15" t="str">
        <f>IF(F15&gt;0.0000001,G15/F15,"")</f>
        <v/>
      </c>
      <c r="I15">
        <f>IF(B15=0,0,IFERROR(N(ETF!$I15),0))</f>
        <v>0</v>
      </c>
      <c r="J15">
        <f>F15*I15</f>
        <v>0</v>
      </c>
      <c r="K15">
        <f>IF($J$22=0,0,J15/$J$22)</f>
        <v>0</v>
      </c>
      <c r="L15">
        <f>IF(B15=0,0,IF(Impostazioni!$B$11="Per classe",IF(ETF!$D15="",0,N(IFERROR(INDEX(Impostazioni!$F$5:$F$14,MATCH(ETF!$D15,Impostazioni!$E$5:$E$14,0)),0))*IF(SUMIFS(ETF!$H$7:$H$21,ETF!$D$7:$D$21,ETF!$D15,ETF!$A$7:$A$21,"&lt;&gt;")&gt;0,N(ETF!$H15)/SUMIFS(ETF!$H$7:$H$21,ETF!$D$7:$D$21,ETF!$D15,ETF!$A$7:$A$21,"&lt;&gt;"),1/MAX(1,COUNTIFS(ETF!$D$7:$D$21,ETF!$D15,ETF!$A$7:$A$21,"&lt;&gt;")))),N(ETF!$H15)))</f>
        <v>0</v>
      </c>
      <c r="M15">
        <f>IF($L$22=0,0,L15/$L$22)</f>
        <v>0</v>
      </c>
      <c r="N15">
        <f>IF(B15=0,0,K15-M15)</f>
        <v>0</v>
      </c>
      <c r="O15">
        <f>J15-G15</f>
        <v>0</v>
      </c>
      <c r="P15">
        <f>IF(B15=0,0,SUMIFS(Movimenti!$U$5:$U$1004,Movimenti!$C$5:$C$1004,A15)-SUMIFS(Movimenti!$K$5:$K$1004,Movimenti!$C$5:$C$1004,A15,Movimenti!$B$5:$B$1004,"Vendita"))</f>
        <v>0</v>
      </c>
      <c r="Q15">
        <f>IF(B15=0,0,SUMIFS(Movimenti!$L$5:$L$1004,Movimenti!$C$5:$C$1004,A15,Movimenti!$B$5:$B$1004,"Dividendo"))</f>
        <v>0</v>
      </c>
      <c r="R15">
        <f>O15+P15+Q15</f>
        <v>0</v>
      </c>
      <c r="S15" t="str">
        <f>IF(G15&gt;0,O15/G15,"")</f>
        <v/>
      </c>
      <c r="T15">
        <f>IF(B15=0,0,N(ETF!$G15))</f>
        <v>0</v>
      </c>
      <c r="U15">
        <f>J15*T15</f>
        <v>0</v>
      </c>
      <c r="V15">
        <f>IF(ETF!$J15="",0.26,N(ETF!$J15))</f>
        <v>0.26</v>
      </c>
      <c r="W15" t="str">
        <f>IF(B15=0,"",IF(AND(J15=0,M15=0),"",IF(ABS(N15)&gt;Impostazioni!$B$8+0.0000001,IF(N15&gt;0,"Sopra","Sotto"),"OK")))</f>
        <v/>
      </c>
      <c r="X15">
        <f>IF(B15=0,0,D15-SUMIFS(Movimenti!$L$5:$L$1004,Movimenti!$C$5:$C$1004,A15,Movimenti!$B$5:$B$1004,"Acquisto"))</f>
        <v>0</v>
      </c>
      <c r="Y15">
        <f>IF(M15&gt;0,J15/M15,0)</f>
        <v>0</v>
      </c>
      <c r="Z15" t="str">
        <f>IF(B15=1,ROW(),"")</f>
        <v/>
      </c>
      <c r="AD15">
        <f>IF(D14&gt;0,Impostazioni!$B$7,$B$32)</f>
        <v>45596.0</v>
      </c>
      <c r="AE15">
        <f>-D14</f>
        <v>0</v>
      </c>
      <c r="AG15" t="str">
        <f>IF(AND(B15=1,COUNTIFS(Movimenti!$C$5:$C$1004,A15,Movimenti!$B$5:$B$1004,"Dividendo")&gt;0),ROW(),"")</f>
        <v/>
      </c>
    </row>
    <row r="16">
      <c r="A16" t="str">
        <f>IF(ETF!$A16="","",ETF!$A16)</f>
        <v/>
      </c>
      <c r="B16">
        <f>IF(A16="",0,1)</f>
        <v>0</v>
      </c>
      <c r="C16">
        <f>IF(B16=0,0,N(ETF!$K16))</f>
        <v>0</v>
      </c>
      <c r="D16">
        <f>IF(B16=0,0,ROUND(N(ETF!$K16)*N(ETF!$L16),2))</f>
        <v>0</v>
      </c>
      <c r="E16">
        <f>IF(B16=0,0,COUNTIFS(Movimenti!$C$5:$C$1004,A16,Movimenti!$B$5:$B$1004,"Acquisto")+COUNTIFS(Movimenti!$C$5:$C$1004,A16,Movimenti!$B$5:$B$1004,"Vendita"))</f>
        <v>0</v>
      </c>
      <c r="F16">
        <f>IF(E16=0,C16,IFERROR(INDEX(Movimenti!$S$5:$S$1004,MATCH(A16&amp;"|"&amp;E16,Movimenti!$O$5:$O$1004,0)),0))</f>
        <v>0</v>
      </c>
      <c r="G16">
        <f>IF(E16=0,D16,IFERROR(INDEX(Movimenti!$T$5:$T$1004,MATCH(A16&amp;"|"&amp;E16,Movimenti!$O$5:$O$1004,0)),0))</f>
        <v>0</v>
      </c>
      <c r="H16" t="str">
        <f>IF(F16&gt;0.0000001,G16/F16,"")</f>
        <v/>
      </c>
      <c r="I16">
        <f>IF(B16=0,0,IFERROR(N(ETF!$I16),0))</f>
        <v>0</v>
      </c>
      <c r="J16">
        <f>F16*I16</f>
        <v>0</v>
      </c>
      <c r="K16">
        <f>IF($J$22=0,0,J16/$J$22)</f>
        <v>0</v>
      </c>
      <c r="L16">
        <f>IF(B16=0,0,IF(Impostazioni!$B$11="Per classe",IF(ETF!$D16="",0,N(IFERROR(INDEX(Impostazioni!$F$5:$F$14,MATCH(ETF!$D16,Impostazioni!$E$5:$E$14,0)),0))*IF(SUMIFS(ETF!$H$7:$H$21,ETF!$D$7:$D$21,ETF!$D16,ETF!$A$7:$A$21,"&lt;&gt;")&gt;0,N(ETF!$H16)/SUMIFS(ETF!$H$7:$H$21,ETF!$D$7:$D$21,ETF!$D16,ETF!$A$7:$A$21,"&lt;&gt;"),1/MAX(1,COUNTIFS(ETF!$D$7:$D$21,ETF!$D16,ETF!$A$7:$A$21,"&lt;&gt;")))),N(ETF!$H16)))</f>
        <v>0</v>
      </c>
      <c r="M16">
        <f>IF($L$22=0,0,L16/$L$22)</f>
        <v>0</v>
      </c>
      <c r="N16">
        <f>IF(B16=0,0,K16-M16)</f>
        <v>0</v>
      </c>
      <c r="O16">
        <f>J16-G16</f>
        <v>0</v>
      </c>
      <c r="P16">
        <f>IF(B16=0,0,SUMIFS(Movimenti!$U$5:$U$1004,Movimenti!$C$5:$C$1004,A16)-SUMIFS(Movimenti!$K$5:$K$1004,Movimenti!$C$5:$C$1004,A16,Movimenti!$B$5:$B$1004,"Vendita"))</f>
        <v>0</v>
      </c>
      <c r="Q16">
        <f>IF(B16=0,0,SUMIFS(Movimenti!$L$5:$L$1004,Movimenti!$C$5:$C$1004,A16,Movimenti!$B$5:$B$1004,"Dividendo"))</f>
        <v>0</v>
      </c>
      <c r="R16">
        <f>O16+P16+Q16</f>
        <v>0</v>
      </c>
      <c r="S16" t="str">
        <f>IF(G16&gt;0,O16/G16,"")</f>
        <v/>
      </c>
      <c r="T16">
        <f>IF(B16=0,0,N(ETF!$G16))</f>
        <v>0</v>
      </c>
      <c r="U16">
        <f>J16*T16</f>
        <v>0</v>
      </c>
      <c r="V16">
        <f>IF(ETF!$J16="",0.26,N(ETF!$J16))</f>
        <v>0.26</v>
      </c>
      <c r="W16" t="str">
        <f>IF(B16=0,"",IF(AND(J16=0,M16=0),"",IF(ABS(N16)&gt;Impostazioni!$B$8+0.0000001,IF(N16&gt;0,"Sopra","Sotto"),"OK")))</f>
        <v/>
      </c>
      <c r="X16">
        <f>IF(B16=0,0,D16-SUMIFS(Movimenti!$L$5:$L$1004,Movimenti!$C$5:$C$1004,A16,Movimenti!$B$5:$B$1004,"Acquisto"))</f>
        <v>0</v>
      </c>
      <c r="Y16">
        <f>IF(M16&gt;0,J16/M16,0)</f>
        <v>0</v>
      </c>
      <c r="Z16" t="str">
        <f>IF(B16=1,ROW(),"")</f>
        <v/>
      </c>
      <c r="AD16">
        <f>IF(D15&gt;0,Impostazioni!$B$7,$B$32)</f>
        <v>45596.0</v>
      </c>
      <c r="AE16">
        <f>-D15</f>
        <v>0</v>
      </c>
      <c r="AG16" t="str">
        <f>IF(AND(B16=1,COUNTIFS(Movimenti!$C$5:$C$1004,A16,Movimenti!$B$5:$B$1004,"Dividendo")&gt;0),ROW(),"")</f>
        <v/>
      </c>
    </row>
    <row r="17">
      <c r="A17" t="str">
        <f>IF(ETF!$A17="","",ETF!$A17)</f>
        <v/>
      </c>
      <c r="B17">
        <f>IF(A17="",0,1)</f>
        <v>0</v>
      </c>
      <c r="C17">
        <f>IF(B17=0,0,N(ETF!$K17))</f>
        <v>0</v>
      </c>
      <c r="D17">
        <f>IF(B17=0,0,ROUND(N(ETF!$K17)*N(ETF!$L17),2))</f>
        <v>0</v>
      </c>
      <c r="E17">
        <f>IF(B17=0,0,COUNTIFS(Movimenti!$C$5:$C$1004,A17,Movimenti!$B$5:$B$1004,"Acquisto")+COUNTIFS(Movimenti!$C$5:$C$1004,A17,Movimenti!$B$5:$B$1004,"Vendita"))</f>
        <v>0</v>
      </c>
      <c r="F17">
        <f>IF(E17=0,C17,IFERROR(INDEX(Movimenti!$S$5:$S$1004,MATCH(A17&amp;"|"&amp;E17,Movimenti!$O$5:$O$1004,0)),0))</f>
        <v>0</v>
      </c>
      <c r="G17">
        <f>IF(E17=0,D17,IFERROR(INDEX(Movimenti!$T$5:$T$1004,MATCH(A17&amp;"|"&amp;E17,Movimenti!$O$5:$O$1004,0)),0))</f>
        <v>0</v>
      </c>
      <c r="H17" t="str">
        <f>IF(F17&gt;0.0000001,G17/F17,"")</f>
        <v/>
      </c>
      <c r="I17">
        <f>IF(B17=0,0,IFERROR(N(ETF!$I17),0))</f>
        <v>0</v>
      </c>
      <c r="J17">
        <f>F17*I17</f>
        <v>0</v>
      </c>
      <c r="K17">
        <f>IF($J$22=0,0,J17/$J$22)</f>
        <v>0</v>
      </c>
      <c r="L17">
        <f>IF(B17=0,0,IF(Impostazioni!$B$11="Per classe",IF(ETF!$D17="",0,N(IFERROR(INDEX(Impostazioni!$F$5:$F$14,MATCH(ETF!$D17,Impostazioni!$E$5:$E$14,0)),0))*IF(SUMIFS(ETF!$H$7:$H$21,ETF!$D$7:$D$21,ETF!$D17,ETF!$A$7:$A$21,"&lt;&gt;")&gt;0,N(ETF!$H17)/SUMIFS(ETF!$H$7:$H$21,ETF!$D$7:$D$21,ETF!$D17,ETF!$A$7:$A$21,"&lt;&gt;"),1/MAX(1,COUNTIFS(ETF!$D$7:$D$21,ETF!$D17,ETF!$A$7:$A$21,"&lt;&gt;")))),N(ETF!$H17)))</f>
        <v>0</v>
      </c>
      <c r="M17">
        <f>IF($L$22=0,0,L17/$L$22)</f>
        <v>0</v>
      </c>
      <c r="N17">
        <f>IF(B17=0,0,K17-M17)</f>
        <v>0</v>
      </c>
      <c r="O17">
        <f>J17-G17</f>
        <v>0</v>
      </c>
      <c r="P17">
        <f>IF(B17=0,0,SUMIFS(Movimenti!$U$5:$U$1004,Movimenti!$C$5:$C$1004,A17)-SUMIFS(Movimenti!$K$5:$K$1004,Movimenti!$C$5:$C$1004,A17,Movimenti!$B$5:$B$1004,"Vendita"))</f>
        <v>0</v>
      </c>
      <c r="Q17">
        <f>IF(B17=0,0,SUMIFS(Movimenti!$L$5:$L$1004,Movimenti!$C$5:$C$1004,A17,Movimenti!$B$5:$B$1004,"Dividendo"))</f>
        <v>0</v>
      </c>
      <c r="R17">
        <f>O17+P17+Q17</f>
        <v>0</v>
      </c>
      <c r="S17" t="str">
        <f>IF(G17&gt;0,O17/G17,"")</f>
        <v/>
      </c>
      <c r="T17">
        <f>IF(B17=0,0,N(ETF!$G17))</f>
        <v>0</v>
      </c>
      <c r="U17">
        <f>J17*T17</f>
        <v>0</v>
      </c>
      <c r="V17">
        <f>IF(ETF!$J17="",0.26,N(ETF!$J17))</f>
        <v>0.26</v>
      </c>
      <c r="W17" t="str">
        <f>IF(B17=0,"",IF(AND(J17=0,M17=0),"",IF(ABS(N17)&gt;Impostazioni!$B$8+0.0000001,IF(N17&gt;0,"Sopra","Sotto"),"OK")))</f>
        <v/>
      </c>
      <c r="X17">
        <f>IF(B17=0,0,D17-SUMIFS(Movimenti!$L$5:$L$1004,Movimenti!$C$5:$C$1004,A17,Movimenti!$B$5:$B$1004,"Acquisto"))</f>
        <v>0</v>
      </c>
      <c r="Y17">
        <f>IF(M17&gt;0,J17/M17,0)</f>
        <v>0</v>
      </c>
      <c r="Z17" t="str">
        <f>IF(B17=1,ROW(),"")</f>
        <v/>
      </c>
      <c r="AD17">
        <f>IF(D16&gt;0,Impostazioni!$B$7,$B$32)</f>
        <v>45596.0</v>
      </c>
      <c r="AE17">
        <f>-D16</f>
        <v>0</v>
      </c>
      <c r="AG17" t="str">
        <f>IF(AND(B17=1,COUNTIFS(Movimenti!$C$5:$C$1004,A17,Movimenti!$B$5:$B$1004,"Dividendo")&gt;0),ROW(),"")</f>
        <v/>
      </c>
    </row>
    <row r="18">
      <c r="A18" t="str">
        <f>IF(ETF!$A18="","",ETF!$A18)</f>
        <v/>
      </c>
      <c r="B18">
        <f>IF(A18="",0,1)</f>
        <v>0</v>
      </c>
      <c r="C18">
        <f>IF(B18=0,0,N(ETF!$K18))</f>
        <v>0</v>
      </c>
      <c r="D18">
        <f>IF(B18=0,0,ROUND(N(ETF!$K18)*N(ETF!$L18),2))</f>
        <v>0</v>
      </c>
      <c r="E18">
        <f>IF(B18=0,0,COUNTIFS(Movimenti!$C$5:$C$1004,A18,Movimenti!$B$5:$B$1004,"Acquisto")+COUNTIFS(Movimenti!$C$5:$C$1004,A18,Movimenti!$B$5:$B$1004,"Vendita"))</f>
        <v>0</v>
      </c>
      <c r="F18">
        <f>IF(E18=0,C18,IFERROR(INDEX(Movimenti!$S$5:$S$1004,MATCH(A18&amp;"|"&amp;E18,Movimenti!$O$5:$O$1004,0)),0))</f>
        <v>0</v>
      </c>
      <c r="G18">
        <f>IF(E18=0,D18,IFERROR(INDEX(Movimenti!$T$5:$T$1004,MATCH(A18&amp;"|"&amp;E18,Movimenti!$O$5:$O$1004,0)),0))</f>
        <v>0</v>
      </c>
      <c r="H18" t="str">
        <f>IF(F18&gt;0.0000001,G18/F18,"")</f>
        <v/>
      </c>
      <c r="I18">
        <f>IF(B18=0,0,IFERROR(N(ETF!$I18),0))</f>
        <v>0</v>
      </c>
      <c r="J18">
        <f>F18*I18</f>
        <v>0</v>
      </c>
      <c r="K18">
        <f>IF($J$22=0,0,J18/$J$22)</f>
        <v>0</v>
      </c>
      <c r="L18">
        <f>IF(B18=0,0,IF(Impostazioni!$B$11="Per classe",IF(ETF!$D18="",0,N(IFERROR(INDEX(Impostazioni!$F$5:$F$14,MATCH(ETF!$D18,Impostazioni!$E$5:$E$14,0)),0))*IF(SUMIFS(ETF!$H$7:$H$21,ETF!$D$7:$D$21,ETF!$D18,ETF!$A$7:$A$21,"&lt;&gt;")&gt;0,N(ETF!$H18)/SUMIFS(ETF!$H$7:$H$21,ETF!$D$7:$D$21,ETF!$D18,ETF!$A$7:$A$21,"&lt;&gt;"),1/MAX(1,COUNTIFS(ETF!$D$7:$D$21,ETF!$D18,ETF!$A$7:$A$21,"&lt;&gt;")))),N(ETF!$H18)))</f>
        <v>0</v>
      </c>
      <c r="M18">
        <f>IF($L$22=0,0,L18/$L$22)</f>
        <v>0</v>
      </c>
      <c r="N18">
        <f>IF(B18=0,0,K18-M18)</f>
        <v>0</v>
      </c>
      <c r="O18">
        <f>J18-G18</f>
        <v>0</v>
      </c>
      <c r="P18">
        <f>IF(B18=0,0,SUMIFS(Movimenti!$U$5:$U$1004,Movimenti!$C$5:$C$1004,A18)-SUMIFS(Movimenti!$K$5:$K$1004,Movimenti!$C$5:$C$1004,A18,Movimenti!$B$5:$B$1004,"Vendita"))</f>
        <v>0</v>
      </c>
      <c r="Q18">
        <f>IF(B18=0,0,SUMIFS(Movimenti!$L$5:$L$1004,Movimenti!$C$5:$C$1004,A18,Movimenti!$B$5:$B$1004,"Dividendo"))</f>
        <v>0</v>
      </c>
      <c r="R18">
        <f>O18+P18+Q18</f>
        <v>0</v>
      </c>
      <c r="S18" t="str">
        <f>IF(G18&gt;0,O18/G18,"")</f>
        <v/>
      </c>
      <c r="T18">
        <f>IF(B18=0,0,N(ETF!$G18))</f>
        <v>0</v>
      </c>
      <c r="U18">
        <f>J18*T18</f>
        <v>0</v>
      </c>
      <c r="V18">
        <f>IF(ETF!$J18="",0.26,N(ETF!$J18))</f>
        <v>0.26</v>
      </c>
      <c r="W18" t="str">
        <f>IF(B18=0,"",IF(AND(J18=0,M18=0),"",IF(ABS(N18)&gt;Impostazioni!$B$8+0.0000001,IF(N18&gt;0,"Sopra","Sotto"),"OK")))</f>
        <v/>
      </c>
      <c r="X18">
        <f>IF(B18=0,0,D18-SUMIFS(Movimenti!$L$5:$L$1004,Movimenti!$C$5:$C$1004,A18,Movimenti!$B$5:$B$1004,"Acquisto"))</f>
        <v>0</v>
      </c>
      <c r="Y18">
        <f>IF(M18&gt;0,J18/M18,0)</f>
        <v>0</v>
      </c>
      <c r="Z18" t="str">
        <f>IF(B18=1,ROW(),"")</f>
        <v/>
      </c>
      <c r="AD18">
        <f>IF(D17&gt;0,Impostazioni!$B$7,$B$32)</f>
        <v>45596.0</v>
      </c>
      <c r="AE18">
        <f>-D17</f>
        <v>0</v>
      </c>
      <c r="AG18" t="str">
        <f>IF(AND(B18=1,COUNTIFS(Movimenti!$C$5:$C$1004,A18,Movimenti!$B$5:$B$1004,"Dividendo")&gt;0),ROW(),"")</f>
        <v/>
      </c>
    </row>
    <row r="19">
      <c r="A19" t="str">
        <f>IF(ETF!$A19="","",ETF!$A19)</f>
        <v/>
      </c>
      <c r="B19">
        <f>IF(A19="",0,1)</f>
        <v>0</v>
      </c>
      <c r="C19">
        <f>IF(B19=0,0,N(ETF!$K19))</f>
        <v>0</v>
      </c>
      <c r="D19">
        <f>IF(B19=0,0,ROUND(N(ETF!$K19)*N(ETF!$L19),2))</f>
        <v>0</v>
      </c>
      <c r="E19">
        <f>IF(B19=0,0,COUNTIFS(Movimenti!$C$5:$C$1004,A19,Movimenti!$B$5:$B$1004,"Acquisto")+COUNTIFS(Movimenti!$C$5:$C$1004,A19,Movimenti!$B$5:$B$1004,"Vendita"))</f>
        <v>0</v>
      </c>
      <c r="F19">
        <f>IF(E19=0,C19,IFERROR(INDEX(Movimenti!$S$5:$S$1004,MATCH(A19&amp;"|"&amp;E19,Movimenti!$O$5:$O$1004,0)),0))</f>
        <v>0</v>
      </c>
      <c r="G19">
        <f>IF(E19=0,D19,IFERROR(INDEX(Movimenti!$T$5:$T$1004,MATCH(A19&amp;"|"&amp;E19,Movimenti!$O$5:$O$1004,0)),0))</f>
        <v>0</v>
      </c>
      <c r="H19" t="str">
        <f>IF(F19&gt;0.0000001,G19/F19,"")</f>
        <v/>
      </c>
      <c r="I19">
        <f>IF(B19=0,0,IFERROR(N(ETF!$I19),0))</f>
        <v>0</v>
      </c>
      <c r="J19">
        <f>F19*I19</f>
        <v>0</v>
      </c>
      <c r="K19">
        <f>IF($J$22=0,0,J19/$J$22)</f>
        <v>0</v>
      </c>
      <c r="L19">
        <f>IF(B19=0,0,IF(Impostazioni!$B$11="Per classe",IF(ETF!$D19="",0,N(IFERROR(INDEX(Impostazioni!$F$5:$F$14,MATCH(ETF!$D19,Impostazioni!$E$5:$E$14,0)),0))*IF(SUMIFS(ETF!$H$7:$H$21,ETF!$D$7:$D$21,ETF!$D19,ETF!$A$7:$A$21,"&lt;&gt;")&gt;0,N(ETF!$H19)/SUMIFS(ETF!$H$7:$H$21,ETF!$D$7:$D$21,ETF!$D19,ETF!$A$7:$A$21,"&lt;&gt;"),1/MAX(1,COUNTIFS(ETF!$D$7:$D$21,ETF!$D19,ETF!$A$7:$A$21,"&lt;&gt;")))),N(ETF!$H19)))</f>
        <v>0</v>
      </c>
      <c r="M19">
        <f>IF($L$22=0,0,L19/$L$22)</f>
        <v>0</v>
      </c>
      <c r="N19">
        <f>IF(B19=0,0,K19-M19)</f>
        <v>0</v>
      </c>
      <c r="O19">
        <f>J19-G19</f>
        <v>0</v>
      </c>
      <c r="P19">
        <f>IF(B19=0,0,SUMIFS(Movimenti!$U$5:$U$1004,Movimenti!$C$5:$C$1004,A19)-SUMIFS(Movimenti!$K$5:$K$1004,Movimenti!$C$5:$C$1004,A19,Movimenti!$B$5:$B$1004,"Vendita"))</f>
        <v>0</v>
      </c>
      <c r="Q19">
        <f>IF(B19=0,0,SUMIFS(Movimenti!$L$5:$L$1004,Movimenti!$C$5:$C$1004,A19,Movimenti!$B$5:$B$1004,"Dividendo"))</f>
        <v>0</v>
      </c>
      <c r="R19">
        <f>O19+P19+Q19</f>
        <v>0</v>
      </c>
      <c r="S19" t="str">
        <f>IF(G19&gt;0,O19/G19,"")</f>
        <v/>
      </c>
      <c r="T19">
        <f>IF(B19=0,0,N(ETF!$G19))</f>
        <v>0</v>
      </c>
      <c r="U19">
        <f>J19*T19</f>
        <v>0</v>
      </c>
      <c r="V19">
        <f>IF(ETF!$J19="",0.26,N(ETF!$J19))</f>
        <v>0.26</v>
      </c>
      <c r="W19" t="str">
        <f>IF(B19=0,"",IF(AND(J19=0,M19=0),"",IF(ABS(N19)&gt;Impostazioni!$B$8+0.0000001,IF(N19&gt;0,"Sopra","Sotto"),"OK")))</f>
        <v/>
      </c>
      <c r="X19">
        <f>IF(B19=0,0,D19-SUMIFS(Movimenti!$L$5:$L$1004,Movimenti!$C$5:$C$1004,A19,Movimenti!$B$5:$B$1004,"Acquisto"))</f>
        <v>0</v>
      </c>
      <c r="Y19">
        <f>IF(M19&gt;0,J19/M19,0)</f>
        <v>0</v>
      </c>
      <c r="Z19" t="str">
        <f>IF(B19=1,ROW(),"")</f>
        <v/>
      </c>
      <c r="AD19">
        <f>IF(D18&gt;0,Impostazioni!$B$7,$B$32)</f>
        <v>45596.0</v>
      </c>
      <c r="AE19">
        <f>-D18</f>
        <v>0</v>
      </c>
      <c r="AG19" t="str">
        <f>IF(AND(B19=1,COUNTIFS(Movimenti!$C$5:$C$1004,A19,Movimenti!$B$5:$B$1004,"Dividendo")&gt;0),ROW(),"")</f>
        <v/>
      </c>
    </row>
    <row r="20">
      <c r="A20" t="str">
        <f>IF(ETF!$A20="","",ETF!$A20)</f>
        <v/>
      </c>
      <c r="B20">
        <f>IF(A20="",0,1)</f>
        <v>0</v>
      </c>
      <c r="C20">
        <f>IF(B20=0,0,N(ETF!$K20))</f>
        <v>0</v>
      </c>
      <c r="D20">
        <f>IF(B20=0,0,ROUND(N(ETF!$K20)*N(ETF!$L20),2))</f>
        <v>0</v>
      </c>
      <c r="E20">
        <f>IF(B20=0,0,COUNTIFS(Movimenti!$C$5:$C$1004,A20,Movimenti!$B$5:$B$1004,"Acquisto")+COUNTIFS(Movimenti!$C$5:$C$1004,A20,Movimenti!$B$5:$B$1004,"Vendita"))</f>
        <v>0</v>
      </c>
      <c r="F20">
        <f>IF(E20=0,C20,IFERROR(INDEX(Movimenti!$S$5:$S$1004,MATCH(A20&amp;"|"&amp;E20,Movimenti!$O$5:$O$1004,0)),0))</f>
        <v>0</v>
      </c>
      <c r="G20">
        <f>IF(E20=0,D20,IFERROR(INDEX(Movimenti!$T$5:$T$1004,MATCH(A20&amp;"|"&amp;E20,Movimenti!$O$5:$O$1004,0)),0))</f>
        <v>0</v>
      </c>
      <c r="H20" t="str">
        <f>IF(F20&gt;0.0000001,G20/F20,"")</f>
        <v/>
      </c>
      <c r="I20">
        <f>IF(B20=0,0,IFERROR(N(ETF!$I20),0))</f>
        <v>0</v>
      </c>
      <c r="J20">
        <f>F20*I20</f>
        <v>0</v>
      </c>
      <c r="K20">
        <f>IF($J$22=0,0,J20/$J$22)</f>
        <v>0</v>
      </c>
      <c r="L20">
        <f>IF(B20=0,0,IF(Impostazioni!$B$11="Per classe",IF(ETF!$D20="",0,N(IFERROR(INDEX(Impostazioni!$F$5:$F$14,MATCH(ETF!$D20,Impostazioni!$E$5:$E$14,0)),0))*IF(SUMIFS(ETF!$H$7:$H$21,ETF!$D$7:$D$21,ETF!$D20,ETF!$A$7:$A$21,"&lt;&gt;")&gt;0,N(ETF!$H20)/SUMIFS(ETF!$H$7:$H$21,ETF!$D$7:$D$21,ETF!$D20,ETF!$A$7:$A$21,"&lt;&gt;"),1/MAX(1,COUNTIFS(ETF!$D$7:$D$21,ETF!$D20,ETF!$A$7:$A$21,"&lt;&gt;")))),N(ETF!$H20)))</f>
        <v>0</v>
      </c>
      <c r="M20">
        <f>IF($L$22=0,0,L20/$L$22)</f>
        <v>0</v>
      </c>
      <c r="N20">
        <f>IF(B20=0,0,K20-M20)</f>
        <v>0</v>
      </c>
      <c r="O20">
        <f>J20-G20</f>
        <v>0</v>
      </c>
      <c r="P20">
        <f>IF(B20=0,0,SUMIFS(Movimenti!$U$5:$U$1004,Movimenti!$C$5:$C$1004,A20)-SUMIFS(Movimenti!$K$5:$K$1004,Movimenti!$C$5:$C$1004,A20,Movimenti!$B$5:$B$1004,"Vendita"))</f>
        <v>0</v>
      </c>
      <c r="Q20">
        <f>IF(B20=0,0,SUMIFS(Movimenti!$L$5:$L$1004,Movimenti!$C$5:$C$1004,A20,Movimenti!$B$5:$B$1004,"Dividendo"))</f>
        <v>0</v>
      </c>
      <c r="R20">
        <f>O20+P20+Q20</f>
        <v>0</v>
      </c>
      <c r="S20" t="str">
        <f>IF(G20&gt;0,O20/G20,"")</f>
        <v/>
      </c>
      <c r="T20">
        <f>IF(B20=0,0,N(ETF!$G20))</f>
        <v>0</v>
      </c>
      <c r="U20">
        <f>J20*T20</f>
        <v>0</v>
      </c>
      <c r="V20">
        <f>IF(ETF!$J20="",0.26,N(ETF!$J20))</f>
        <v>0.26</v>
      </c>
      <c r="W20" t="str">
        <f>IF(B20=0,"",IF(AND(J20=0,M20=0),"",IF(ABS(N20)&gt;Impostazioni!$B$8+0.0000001,IF(N20&gt;0,"Sopra","Sotto"),"OK")))</f>
        <v/>
      </c>
      <c r="X20">
        <f>IF(B20=0,0,D20-SUMIFS(Movimenti!$L$5:$L$1004,Movimenti!$C$5:$C$1004,A20,Movimenti!$B$5:$B$1004,"Acquisto"))</f>
        <v>0</v>
      </c>
      <c r="Y20">
        <f>IF(M20&gt;0,J20/M20,0)</f>
        <v>0</v>
      </c>
      <c r="Z20" t="str">
        <f>IF(B20=1,ROW(),"")</f>
        <v/>
      </c>
      <c r="AD20">
        <f>IF(D19&gt;0,Impostazioni!$B$7,$B$32)</f>
        <v>45596.0</v>
      </c>
      <c r="AE20">
        <f>-D19</f>
        <v>0</v>
      </c>
      <c r="AG20" t="str">
        <f>IF(AND(B20=1,COUNTIFS(Movimenti!$C$5:$C$1004,A20,Movimenti!$B$5:$B$1004,"Dividendo")&gt;0),ROW(),"")</f>
        <v/>
      </c>
    </row>
    <row r="21">
      <c r="A21" t="str">
        <f>IF(ETF!$A21="","",ETF!$A21)</f>
        <v/>
      </c>
      <c r="B21">
        <f>IF(A21="",0,1)</f>
        <v>0</v>
      </c>
      <c r="C21">
        <f>IF(B21=0,0,N(ETF!$K21))</f>
        <v>0</v>
      </c>
      <c r="D21">
        <f>IF(B21=0,0,ROUND(N(ETF!$K21)*N(ETF!$L21),2))</f>
        <v>0</v>
      </c>
      <c r="E21">
        <f>IF(B21=0,0,COUNTIFS(Movimenti!$C$5:$C$1004,A21,Movimenti!$B$5:$B$1004,"Acquisto")+COUNTIFS(Movimenti!$C$5:$C$1004,A21,Movimenti!$B$5:$B$1004,"Vendita"))</f>
        <v>0</v>
      </c>
      <c r="F21">
        <f>IF(E21=0,C21,IFERROR(INDEX(Movimenti!$S$5:$S$1004,MATCH(A21&amp;"|"&amp;E21,Movimenti!$O$5:$O$1004,0)),0))</f>
        <v>0</v>
      </c>
      <c r="G21">
        <f>IF(E21=0,D21,IFERROR(INDEX(Movimenti!$T$5:$T$1004,MATCH(A21&amp;"|"&amp;E21,Movimenti!$O$5:$O$1004,0)),0))</f>
        <v>0</v>
      </c>
      <c r="H21" t="str">
        <f>IF(F21&gt;0.0000001,G21/F21,"")</f>
        <v/>
      </c>
      <c r="I21">
        <f>IF(B21=0,0,IFERROR(N(ETF!$I21),0))</f>
        <v>0</v>
      </c>
      <c r="J21">
        <f>F21*I21</f>
        <v>0</v>
      </c>
      <c r="K21">
        <f>IF($J$22=0,0,J21/$J$22)</f>
        <v>0</v>
      </c>
      <c r="L21">
        <f>IF(B21=0,0,IF(Impostazioni!$B$11="Per classe",IF(ETF!$D21="",0,N(IFERROR(INDEX(Impostazioni!$F$5:$F$14,MATCH(ETF!$D21,Impostazioni!$E$5:$E$14,0)),0))*IF(SUMIFS(ETF!$H$7:$H$21,ETF!$D$7:$D$21,ETF!$D21,ETF!$A$7:$A$21,"&lt;&gt;")&gt;0,N(ETF!$H21)/SUMIFS(ETF!$H$7:$H$21,ETF!$D$7:$D$21,ETF!$D21,ETF!$A$7:$A$21,"&lt;&gt;"),1/MAX(1,COUNTIFS(ETF!$D$7:$D$21,ETF!$D21,ETF!$A$7:$A$21,"&lt;&gt;")))),N(ETF!$H21)))</f>
        <v>0</v>
      </c>
      <c r="M21">
        <f>IF($L$22=0,0,L21/$L$22)</f>
        <v>0</v>
      </c>
      <c r="N21">
        <f>IF(B21=0,0,K21-M21)</f>
        <v>0</v>
      </c>
      <c r="O21">
        <f>J21-G21</f>
        <v>0</v>
      </c>
      <c r="P21">
        <f>IF(B21=0,0,SUMIFS(Movimenti!$U$5:$U$1004,Movimenti!$C$5:$C$1004,A21)-SUMIFS(Movimenti!$K$5:$K$1004,Movimenti!$C$5:$C$1004,A21,Movimenti!$B$5:$B$1004,"Vendita"))</f>
        <v>0</v>
      </c>
      <c r="Q21">
        <f>IF(B21=0,0,SUMIFS(Movimenti!$L$5:$L$1004,Movimenti!$C$5:$C$1004,A21,Movimenti!$B$5:$B$1004,"Dividendo"))</f>
        <v>0</v>
      </c>
      <c r="R21">
        <f>O21+P21+Q21</f>
        <v>0</v>
      </c>
      <c r="S21" t="str">
        <f>IF(G21&gt;0,O21/G21,"")</f>
        <v/>
      </c>
      <c r="T21">
        <f>IF(B21=0,0,N(ETF!$G21))</f>
        <v>0</v>
      </c>
      <c r="U21">
        <f>J21*T21</f>
        <v>0</v>
      </c>
      <c r="V21">
        <f>IF(ETF!$J21="",0.26,N(ETF!$J21))</f>
        <v>0.26</v>
      </c>
      <c r="W21" t="str">
        <f>IF(B21=0,"",IF(AND(J21=0,M21=0),"",IF(ABS(N21)&gt;Impostazioni!$B$8+0.0000001,IF(N21&gt;0,"Sopra","Sotto"),"OK")))</f>
        <v/>
      </c>
      <c r="X21">
        <f>IF(B21=0,0,D21-SUMIFS(Movimenti!$L$5:$L$1004,Movimenti!$C$5:$C$1004,A21,Movimenti!$B$5:$B$1004,"Acquisto"))</f>
        <v>0</v>
      </c>
      <c r="Y21">
        <f>IF(M21&gt;0,J21/M21,0)</f>
        <v>0</v>
      </c>
      <c r="Z21" t="str">
        <f>IF(B21=1,ROW(),"")</f>
        <v/>
      </c>
      <c r="AD21">
        <f>IF(D20&gt;0,Impostazioni!$B$7,$B$32)</f>
        <v>45596.0</v>
      </c>
      <c r="AE21">
        <f>-D20</f>
        <v>0</v>
      </c>
      <c r="AG21" t="str">
        <f>IF(AND(B21=1,COUNTIFS(Movimenti!$C$5:$C$1004,A21,Movimenti!$B$5:$B$1004,"Dividendo")&gt;0),ROW(),"")</f>
        <v/>
      </c>
    </row>
    <row r="22">
      <c r="A22" t="inlineStr">
        <is>
          <t>Totale</t>
        </is>
      </c>
      <c r="D22">
        <f>SUM(D7:D21)</f>
        <v>6509</v>
      </c>
      <c r="G22">
        <f>SUM(G7:G21)</f>
        <v>14783.7893103448</v>
      </c>
      <c r="J22">
        <f>SUM(J7:J21)</f>
        <v>17074.29</v>
      </c>
      <c r="L22">
        <f>SUM(L7:L21)</f>
        <v>1</v>
      </c>
      <c r="O22">
        <f>SUM(O7:O21)</f>
        <v>2290.50068965518</v>
      </c>
      <c r="P22">
        <f>SUM(P7:P21)</f>
        <v>74.8893103448277</v>
      </c>
      <c r="Q22">
        <f>SUM(Q7:Q21)</f>
        <v>108.17</v>
      </c>
      <c r="R22">
        <f>SUM(R7:R21)</f>
        <v>2473.56</v>
      </c>
      <c r="U22">
        <f>SUM(U7:U21)</f>
        <v>30.285456</v>
      </c>
      <c r="X22">
        <f>SUM(X7:X21)</f>
        <v>15355.69</v>
      </c>
      <c r="AD22">
        <f>IF(D21&gt;0,Impostazioni!$B$7,$B$32)</f>
        <v>45596.0</v>
      </c>
      <c r="AE22">
        <f>-D21</f>
        <v>0</v>
      </c>
    </row>
    <row r="23">
      <c r="AD23">
        <f>IF(AND(ISNUMBER(Movimenti!$A5),Movimenti!$L5&lt;&gt;""),Movimenti!$A5,$B$32)</f>
        <v>45601.0</v>
      </c>
      <c r="AE23">
        <f>IF(Movimenti!$L5="",0,N(Movimenti!$L5))</f>
        <v>-167.44</v>
      </c>
    </row>
    <row r="24">
      <c r="AD24">
        <f>IF(AND(ISNUMBER(Movimenti!$A6),Movimenti!$L6&lt;&gt;""),Movimenti!$A6,$B$32)</f>
        <v>45601.0</v>
      </c>
      <c r="AE24">
        <f>IF(Movimenti!$L6="",0,N(Movimenti!$L6))</f>
        <v>-214.76</v>
      </c>
    </row>
    <row r="25">
      <c r="A25" t="inlineStr">
        <is>
          <t>Valore</t>
        </is>
      </c>
      <c r="B25">
        <f>J22</f>
        <v>17074.29</v>
      </c>
      <c r="AD25">
        <f>IF(AND(ISNUMBER(Movimenti!$A7),Movimenti!$L7&lt;&gt;""),Movimenti!$A7,$B$32)</f>
        <v>45631.0</v>
      </c>
      <c r="AE25">
        <f>IF(Movimenti!$L7="",0,N(Movimenti!$L7))</f>
        <v>-215.65</v>
      </c>
    </row>
    <row r="26">
      <c r="A26" t="inlineStr">
        <is>
          <t>Versato netto</t>
        </is>
      </c>
      <c r="B26">
        <f>D22-SUMIFS(Movimenti!$L$5:$L$1004,Movimenti!$B$5:$B$1004,"&lt;&gt;Dividendo")</f>
        <v>14708.9</v>
      </c>
      <c r="AD26">
        <f>IF(AND(ISNUMBER(Movimenti!$A8),Movimenti!$L8&lt;&gt;""),Movimenti!$A8,$B$32)</f>
        <v>45631.0</v>
      </c>
      <c r="AE26">
        <f>IF(Movimenti!$L8="",0,N(Movimenti!$L8))</f>
        <v>-170.2</v>
      </c>
    </row>
    <row r="27">
      <c r="A27" t="inlineStr">
        <is>
          <t>Comprato in tutto</t>
        </is>
      </c>
      <c r="B27">
        <f>X22</f>
        <v>15355.69</v>
      </c>
      <c r="AD27">
        <f>IF(AND(ISNUMBER(Movimenti!$A9),Movimenti!$L9&lt;&gt;""),Movimenti!$A9,$B$32)</f>
        <v>45646.0</v>
      </c>
      <c r="AE27">
        <f>IF(Movimenti!$L9="",0,N(Movimenti!$L9))</f>
        <v>16.27</v>
      </c>
    </row>
    <row r="28">
      <c r="A28" t="inlineStr">
        <is>
          <t>Dividendi netti</t>
        </is>
      </c>
      <c r="B28">
        <f>Q22</f>
        <v>108.17</v>
      </c>
      <c r="AD28">
        <f>IF(AND(ISNUMBER(Movimenti!$A10),Movimenti!$L10&lt;&gt;""),Movimenti!$A10,$B$32)</f>
        <v>45651.0</v>
      </c>
      <c r="AE28">
        <f>IF(Movimenti!$L10="",0,N(Movimenti!$L10))</f>
        <v>1.6</v>
      </c>
    </row>
    <row r="29">
      <c r="A29" t="inlineStr">
        <is>
          <t>Guadagno totale</t>
        </is>
      </c>
      <c r="B29">
        <f>B25-B26+B28</f>
        <v>2473.56</v>
      </c>
      <c r="AD29">
        <f>IF(AND(ISNUMBER(Movimenti!$A11),Movimenti!$L11&lt;&gt;""),Movimenti!$A11,$B$32)</f>
        <v>45662.0</v>
      </c>
      <c r="AE29">
        <f>IF(Movimenti!$L11="",0,N(Movimenti!$L11))</f>
        <v>-180.96</v>
      </c>
    </row>
    <row r="30">
      <c r="A30" t="inlineStr">
        <is>
          <t>Guadagno %</t>
        </is>
      </c>
      <c r="B30">
        <f>IF(B27&gt;0,B29/B27,"")</f>
        <v>0.161084262576283</v>
      </c>
      <c r="AD30">
        <f>IF(AND(ISNUMBER(Movimenti!$A12),Movimenti!$L12&lt;&gt;""),Movimenti!$A12,$B$32)</f>
        <v>45662.0</v>
      </c>
      <c r="AE30">
        <f>IF(Movimenti!$L12="",0,N(Movimenti!$L12))</f>
        <v>-176.86</v>
      </c>
    </row>
    <row r="31">
      <c r="A31" t="inlineStr">
        <is>
          <t>Rendimento annuo</t>
        </is>
      </c>
      <c r="B31">
        <f>IF(OR(B43=0,B33&lt;365),"",B44)</f>
        <v>0.110061483498108</v>
      </c>
      <c r="AD31">
        <f>IF(AND(ISNUMBER(Movimenti!$A13),Movimenti!$L13&lt;&gt;""),Movimenti!$A13,$B$32)</f>
        <v>45693.0</v>
      </c>
      <c r="AE31">
        <f>IF(Movimenti!$L13="",0,N(Movimenti!$L13))</f>
        <v>-188.66</v>
      </c>
    </row>
    <row r="32">
      <c r="A32" t="inlineStr">
        <is>
          <t>Prima data</t>
        </is>
      </c>
      <c r="B32">
        <f>IF(COUNT(Movimenti!$A$5:$A$1004)=0,IF(D22&gt;0,Impostazioni!$B$7,B42),IF(D22&gt;0,MIN(Impostazioni!$B$7,MIN(Movimenti!$A$5:$A$1004)),MIN(Movimenti!$A$5:$A$1004)))</f>
        <v>45596.0</v>
      </c>
      <c r="AD32">
        <f>IF(AND(ISNUMBER(Movimenti!$A14),Movimenti!$L14&lt;&gt;""),Movimenti!$A14,$B$32)</f>
        <v>45693.0</v>
      </c>
      <c r="AE32">
        <f>IF(Movimenti!$L14="",0,N(Movimenti!$L14))</f>
        <v>-137.62</v>
      </c>
    </row>
    <row r="33">
      <c r="A33" t="inlineStr">
        <is>
          <t>Giorni</t>
        </is>
      </c>
      <c r="B33">
        <f>B42-B32</f>
        <v>719</v>
      </c>
      <c r="AD33">
        <f>IF(AND(ISNUMBER(Movimenti!$A15),Movimenti!$L15&lt;&gt;""),Movimenti!$A15,$B$32)</f>
        <v>45693.0</v>
      </c>
      <c r="AE33">
        <f>IF(Movimenti!$L15="",0,N(Movimenti!$L15))</f>
        <v>-62.05</v>
      </c>
    </row>
    <row r="34">
      <c r="A34" t="inlineStr">
        <is>
          <t>Costo TER €</t>
        </is>
      </c>
      <c r="B34">
        <f>U22</f>
        <v>30.285456</v>
      </c>
      <c r="AD34">
        <f>IF(AND(ISNUMBER(Movimenti!$A16),Movimenti!$L16&lt;&gt;""),Movimenti!$A16,$B$32)</f>
        <v>45721.0</v>
      </c>
      <c r="AE34">
        <f>IF(Movimenti!$L16="",0,N(Movimenti!$L16))</f>
        <v>-273.52</v>
      </c>
    </row>
    <row r="35">
      <c r="A35" t="inlineStr">
        <is>
          <t>TER medio</t>
        </is>
      </c>
      <c r="B35">
        <f>IF(B25&gt;0,B34/B25,0)</f>
        <v>0.00177374614112798</v>
      </c>
      <c r="AD35">
        <f>IF(AND(ISNUMBER(Movimenti!$A17),Movimenti!$L17&lt;&gt;""),Movimenti!$A17,$B$32)</f>
        <v>45721.0</v>
      </c>
      <c r="AE35">
        <f>IF(Movimenti!$L17="",0,N(Movimenti!$L17))</f>
        <v>-43.47</v>
      </c>
    </row>
    <row r="36">
      <c r="A36" t="inlineStr">
        <is>
          <t>Bollo €</t>
        </is>
      </c>
      <c r="B36">
        <f>B25*Impostazioni!$B$10</f>
        <v>34.14858</v>
      </c>
      <c r="AD36">
        <f>IF(AND(ISNUMBER(Movimenti!$A18),Movimenti!$L18&lt;&gt;""),Movimenti!$A18,$B$32)</f>
        <v>45721.0</v>
      </c>
      <c r="AE36">
        <f>IF(Movimenti!$L18="",0,N(Movimenti!$L18))</f>
        <v>-64.09</v>
      </c>
    </row>
    <row r="37">
      <c r="A37" t="inlineStr">
        <is>
          <t>Costi all’anno</t>
        </is>
      </c>
      <c r="B37">
        <f>B34+B36</f>
        <v>64.434036</v>
      </c>
      <c r="AD37">
        <f>IF(AND(ISNUMBER(Movimenti!$A19),Movimenti!$L19&lt;&gt;""),Movimenti!$A19,$B$32)</f>
        <v>45741.0</v>
      </c>
      <c r="AE37">
        <f>IF(Movimenti!$L19="",0,N(Movimenti!$L19))</f>
        <v>3.02</v>
      </c>
    </row>
    <row r="38">
      <c r="A38" t="inlineStr">
        <is>
          <t>Commissioni pagate</t>
        </is>
      </c>
      <c r="B38">
        <f>SUM(Movimenti!$G$5:$G$1004)</f>
        <v>57</v>
      </c>
      <c r="AD38">
        <f>IF(AND(ISNUMBER(Movimenti!$A20),Movimenti!$L20&lt;&gt;""),Movimenti!$A20,$B$32)</f>
        <v>45752.0</v>
      </c>
      <c r="AE38">
        <f>IF(Movimenti!$L20="",0,N(Movimenti!$L20))</f>
        <v>-366.56</v>
      </c>
    </row>
    <row r="39">
      <c r="A39" t="inlineStr">
        <is>
          <t>Dividendi ultimi 12 mesi</t>
        </is>
      </c>
      <c r="B39">
        <f>SUMIFS(Movimenti!$L$5:$L$1004,Movimenti!$B$5:$B$1004,"Dividendo",Movimenti!$A$5:$A$1004,"&gt;"&amp;(B42-365))</f>
        <v>62.13</v>
      </c>
      <c r="AD39">
        <f>IF(AND(ISNUMBER(Movimenti!$A21),Movimenti!$L21&lt;&gt;""),Movimenti!$A21,$B$32)</f>
        <v>45782.0</v>
      </c>
      <c r="AE39">
        <f>IF(Movimenti!$L21="",0,N(Movimenti!$L21))</f>
        <v>-187.86</v>
      </c>
    </row>
    <row r="40">
      <c r="A40" t="inlineStr">
        <is>
          <t>Rendimento da dividendi</t>
        </is>
      </c>
      <c r="B40">
        <f>IF(B25&gt;0,B39/B25,0)</f>
        <v>0.00363880430752904</v>
      </c>
      <c r="AD40">
        <f>IF(AND(ISNUMBER(Movimenti!$A22),Movimenti!$L22&lt;&gt;""),Movimenti!$A22,$B$32)</f>
        <v>45782.0</v>
      </c>
      <c r="AE40">
        <f>IF(Movimenti!$L22="",0,N(Movimenti!$L22))</f>
        <v>-125.53</v>
      </c>
    </row>
    <row r="41">
      <c r="A41" t="inlineStr">
        <is>
          <t>ETF fuori soglia</t>
        </is>
      </c>
      <c r="B41">
        <f>COUNTIF(W7:W21,"Sopra")+COUNTIF(W7:W21,"Sotto")</f>
        <v>0</v>
      </c>
      <c r="AD41">
        <f>IF(AND(ISNUMBER(Movimenti!$A23),Movimenti!$L23&lt;&gt;""),Movimenti!$A23,$B$32)</f>
        <v>45782.0</v>
      </c>
      <c r="AE41">
        <f>IF(Movimenti!$L23="",0,N(Movimenti!$L23))</f>
        <v>-67.05</v>
      </c>
    </row>
    <row r="42">
      <c r="A42" t="inlineStr">
        <is>
          <t>Data dei prezzi</t>
        </is>
      </c>
      <c r="B42">
        <f>IF(Impostazioni!$B$6="",TODAY(),Impostazioni!$B$6)</f>
        <v>46315.0</v>
      </c>
      <c r="AD42">
        <f>IF(AND(ISNUMBER(Movimenti!$A24),Movimenti!$L24&lt;&gt;""),Movimenti!$A24,$B$32)</f>
        <v>45813.0</v>
      </c>
      <c r="AE42">
        <f>IF(Movimenti!$L24="",0,N(Movimenti!$L24))</f>
        <v>-292.78</v>
      </c>
    </row>
    <row r="43">
      <c r="A43" t="inlineStr">
        <is>
          <t>ETF attivi</t>
        </is>
      </c>
      <c r="B43">
        <f>SUM(B7:B21)</f>
        <v>4</v>
      </c>
      <c r="AD43">
        <f>IF(AND(ISNUMBER(Movimenti!$A25),Movimenti!$L25&lt;&gt;""),Movimenti!$A25,$B$32)</f>
        <v>45813.0</v>
      </c>
      <c r="AE43">
        <f>IF(Movimenti!$L25="",0,N(Movimenti!$L25))</f>
        <v>-83.78</v>
      </c>
    </row>
    <row r="44">
      <c r="A44" t="inlineStr">
        <is>
          <t>Rendimento annuo (grezzo)</t>
        </is>
      </c>
      <c r="B44">
        <f>IF(AND(B46&lt;&gt;"",ABS(N(B46))&lt;=10),B46,IF(AND(B47&lt;&gt;"",ABS(N(B47))&lt;=10),B47,""))</f>
        <v>0.110061483498108</v>
      </c>
      <c r="AD44">
        <f>IF(AND(ISNUMBER(Movimenti!$A26),Movimenti!$L26&lt;&gt;""),Movimenti!$A26,$B$32)</f>
        <v>45828.0</v>
      </c>
      <c r="AE44">
        <f>IF(Movimenti!$L26="",0,N(Movimenti!$L26))</f>
        <v>16.27</v>
      </c>
    </row>
    <row r="45">
      <c r="A45" t="inlineStr">
        <is>
          <t>Versamento per l’equilibrio</t>
        </is>
      </c>
      <c r="B45">
        <f>MAX(0,MAX(Y7:Y21)-J22)</f>
        <v>179.009999999998</v>
      </c>
      <c r="AD45">
        <f>IF(AND(ISNUMBER(Movimenti!$A27),Movimenti!$L27&lt;&gt;""),Movimenti!$A27,$B$32)</f>
        <v>45833.0</v>
      </c>
      <c r="AE45">
        <f>IF(Movimenti!$L27="",0,N(Movimenti!$L27))</f>
        <v>3.91</v>
      </c>
    </row>
    <row r="46">
      <c r="A46" t="inlineStr">
        <is>
          <t>Rendimento annuo (primo tentativo)</t>
        </is>
      </c>
      <c r="B46">
        <f>IFERROR(XIRR($AE$7:$AE$1023,$AD$7:$AD$1023,0.05),"")</f>
        <v>0.110061483498108</v>
      </c>
      <c r="AD46">
        <f>IF(AND(ISNUMBER(Movimenti!$A28),Movimenti!$L28&lt;&gt;""),Movimenti!$A28,$B$32)</f>
        <v>45843.0</v>
      </c>
      <c r="AE46">
        <f>IF(Movimenti!$L28="",0,N(Movimenti!$L28))</f>
        <v>-284.47</v>
      </c>
    </row>
    <row r="47">
      <c r="A47" t="inlineStr">
        <is>
          <t>Rendimento annuo (secondo tentativo)</t>
        </is>
      </c>
      <c r="B47" t="str">
        <f>IF(AND(B46&lt;&gt;"",ABS(N(B46))&lt;=10),"",IFERROR(XIRR($AE$7:$AE$1023,$AD$7:$AD$1023,-0.1),""))</f>
        <v/>
      </c>
      <c r="AD47">
        <f>IF(AND(ISNUMBER(Movimenti!$A29),Movimenti!$L29&lt;&gt;""),Movimenti!$A29,$B$32)</f>
        <v>45843.0</v>
      </c>
      <c r="AE47">
        <f>IF(Movimenti!$L29="",0,N(Movimenti!$L29))</f>
        <v>-79.24</v>
      </c>
    </row>
    <row r="48">
      <c r="A48" t="inlineStr">
        <is>
          <t>Versamento</t>
        </is>
      </c>
      <c r="B48">
        <f>N(Ribilanciamento!$G$7)</f>
        <v>400</v>
      </c>
      <c r="AD48">
        <f>IF(AND(ISNUMBER(Movimenti!$A30),Movimenti!$L30&lt;&gt;""),Movimenti!$A30,$B$32)</f>
        <v>45874.0</v>
      </c>
      <c r="AE48">
        <f>IF(Movimenti!$L30="",0,N(Movimenti!$L30))</f>
        <v>-275.74</v>
      </c>
    </row>
    <row r="49">
      <c r="AD49">
        <f>IF(AND(ISNUMBER(Movimenti!$A31),Movimenti!$L31&lt;&gt;""),Movimenti!$A31,$B$32)</f>
        <v>45874.0</v>
      </c>
      <c r="AE49">
        <f>IF(Movimenti!$L31="",0,N(Movimenti!$L31))</f>
        <v>-40.28</v>
      </c>
    </row>
    <row r="50">
      <c r="A50" t="inlineStr">
        <is>
          <t>Valore</t>
        </is>
      </c>
      <c r="C50">
        <f>J7</f>
        <v>9382.32</v>
      </c>
      <c r="D50">
        <f>J8</f>
        <v>1668.2</v>
      </c>
      <c r="E50">
        <f>J9</f>
        <v>4298.44</v>
      </c>
      <c r="F50">
        <f>J10</f>
        <v>1725.33</v>
      </c>
      <c r="G50">
        <f>J11</f>
        <v>0</v>
      </c>
      <c r="H50">
        <f>J12</f>
        <v>0</v>
      </c>
      <c r="I50">
        <f>J13</f>
        <v>0</v>
      </c>
      <c r="J50">
        <f>J14</f>
        <v>0</v>
      </c>
      <c r="K50">
        <f>J15</f>
        <v>0</v>
      </c>
      <c r="L50">
        <f>J16</f>
        <v>0</v>
      </c>
      <c r="M50">
        <f>J17</f>
        <v>0</v>
      </c>
      <c r="N50">
        <f>J18</f>
        <v>0</v>
      </c>
      <c r="O50">
        <f>J19</f>
        <v>0</v>
      </c>
      <c r="P50">
        <f>J20</f>
        <v>0</v>
      </c>
      <c r="Q50">
        <f>J21</f>
        <v>0</v>
      </c>
      <c r="AD50">
        <f>IF(AND(ISNUMBER(Movimenti!$A32),Movimenti!$L32&lt;&gt;""),Movimenti!$A32,$B$32)</f>
        <v>45874.0</v>
      </c>
      <c r="AE50">
        <f>IF(Movimenti!$L32="",0,N(Movimenti!$L32))</f>
        <v>-73.56</v>
      </c>
    </row>
    <row r="51">
      <c r="A51" t="inlineStr">
        <is>
          <t>Obiettivo</t>
        </is>
      </c>
      <c r="C51">
        <f>M7</f>
        <v>0.5525</v>
      </c>
      <c r="D51">
        <f>M8</f>
        <v>0.0975</v>
      </c>
      <c r="E51">
        <f>M9</f>
        <v>0.25</v>
      </c>
      <c r="F51">
        <f>M10</f>
        <v>0.1</v>
      </c>
      <c r="G51">
        <f>M11</f>
        <v>0</v>
      </c>
      <c r="H51">
        <f>M12</f>
        <v>0</v>
      </c>
      <c r="I51">
        <f>M13</f>
        <v>0</v>
      </c>
      <c r="J51">
        <f>M14</f>
        <v>0</v>
      </c>
      <c r="K51">
        <f>M15</f>
        <v>0</v>
      </c>
      <c r="L51">
        <f>M16</f>
        <v>0</v>
      </c>
      <c r="M51">
        <f>M17</f>
        <v>0</v>
      </c>
      <c r="N51">
        <f>M18</f>
        <v>0</v>
      </c>
      <c r="O51">
        <f>M19</f>
        <v>0</v>
      </c>
      <c r="P51">
        <f>M20</f>
        <v>0</v>
      </c>
      <c r="Q51">
        <f>M21</f>
        <v>0</v>
      </c>
      <c r="AD51">
        <f>IF(AND(ISNUMBER(Movimenti!$A33),Movimenti!$L33&lt;&gt;""),Movimenti!$A33,$B$32)</f>
        <v>45905.0</v>
      </c>
      <c r="AE51">
        <f>IF(Movimenti!$L33="",0,N(Movimenti!$L33))</f>
        <v>-189.5</v>
      </c>
    </row>
    <row r="52">
      <c r="A52" t="inlineStr">
        <is>
          <t>Prezzo</t>
        </is>
      </c>
      <c r="C52">
        <f>I7</f>
        <v>113.04</v>
      </c>
      <c r="D52">
        <f>I8</f>
        <v>43.9</v>
      </c>
      <c r="E52">
        <f>I9</f>
        <v>104.84</v>
      </c>
      <c r="F52">
        <f>I10</f>
        <v>101.49</v>
      </c>
      <c r="G52">
        <f>I11</f>
        <v>0</v>
      </c>
      <c r="H52">
        <f>I12</f>
        <v>0</v>
      </c>
      <c r="I52">
        <f>I13</f>
        <v>0</v>
      </c>
      <c r="J52">
        <f>I14</f>
        <v>0</v>
      </c>
      <c r="K52">
        <f>I15</f>
        <v>0</v>
      </c>
      <c r="L52">
        <f>I16</f>
        <v>0</v>
      </c>
      <c r="M52">
        <f>I17</f>
        <v>0</v>
      </c>
      <c r="N52">
        <f>I18</f>
        <v>0</v>
      </c>
      <c r="O52">
        <f>I19</f>
        <v>0</v>
      </c>
      <c r="P52">
        <f>I20</f>
        <v>0</v>
      </c>
      <c r="Q52">
        <f>I21</f>
        <v>0</v>
      </c>
      <c r="AD52">
        <f>IF(AND(ISNUMBER(Movimenti!$A34),Movimenti!$L34&lt;&gt;""),Movimenti!$A34,$B$32)</f>
        <v>45905.0</v>
      </c>
      <c r="AE52">
        <f>IF(Movimenti!$L34="",0,N(Movimenti!$L34))</f>
        <v>-115.63</v>
      </c>
    </row>
    <row r="53">
      <c r="A53" t="inlineStr">
        <is>
          <t>Partecipa</t>
        </is>
      </c>
      <c r="C53">
        <f>IF(AND(B7=1,M7&gt;0),1,0)</f>
        <v>1</v>
      </c>
      <c r="D53">
        <f>IF(AND(B8=1,M8&gt;0),1,0)</f>
        <v>1</v>
      </c>
      <c r="E53">
        <f>IF(AND(B9=1,M9&gt;0),1,0)</f>
        <v>1</v>
      </c>
      <c r="F53">
        <f>IF(AND(B10=1,M10&gt;0),1,0)</f>
        <v>1</v>
      </c>
      <c r="G53">
        <f>IF(AND(B11=1,M11&gt;0),1,0)</f>
        <v>0</v>
      </c>
      <c r="H53">
        <f>IF(AND(B12=1,M12&gt;0),1,0)</f>
        <v>0</v>
      </c>
      <c r="I53">
        <f>IF(AND(B13=1,M13&gt;0),1,0)</f>
        <v>0</v>
      </c>
      <c r="J53">
        <f>IF(AND(B14=1,M14&gt;0),1,0)</f>
        <v>0</v>
      </c>
      <c r="K53">
        <f>IF(AND(B15=1,M15&gt;0),1,0)</f>
        <v>0</v>
      </c>
      <c r="L53">
        <f>IF(AND(B16=1,M16&gt;0),1,0)</f>
        <v>0</v>
      </c>
      <c r="M53">
        <f>IF(AND(B17=1,M17&gt;0),1,0)</f>
        <v>0</v>
      </c>
      <c r="N53">
        <f>IF(AND(B18=1,M18&gt;0),1,0)</f>
        <v>0</v>
      </c>
      <c r="O53">
        <f>IF(AND(B19=1,M19&gt;0),1,0)</f>
        <v>0</v>
      </c>
      <c r="P53">
        <f>IF(AND(B20=1,M20&gt;0),1,0)</f>
        <v>0</v>
      </c>
      <c r="Q53">
        <f>IF(AND(B21=1,M21&gt;0),1,0)</f>
        <v>0</v>
      </c>
      <c r="AD53">
        <f>IF(AND(ISNUMBER(Movimenti!$A35),Movimenti!$L35&lt;&gt;""),Movimenti!$A35,$B$32)</f>
        <v>45905.0</v>
      </c>
      <c r="AE53">
        <f>IF(Movimenti!$L35="",0,N(Movimenti!$L35))</f>
        <v>-72.78</v>
      </c>
    </row>
    <row r="54">
      <c r="A54" t="inlineStr">
        <is>
          <t>Iterazioni: chi partecipa</t>
        </is>
      </c>
      <c r="S54" t="inlineStr">
        <is>
          <t>Σ obiettivi</t>
        </is>
      </c>
      <c r="T54" t="inlineStr">
        <is>
          <t>Da distribuire</t>
        </is>
      </c>
      <c r="AD54">
        <f>IF(AND(ISNUMBER(Movimenti!$A36),Movimenti!$L36&lt;&gt;""),Movimenti!$A36,$B$32)</f>
        <v>45925.0</v>
      </c>
      <c r="AE54">
        <f>IF(Movimenti!$L36="",0,N(Movimenti!$L36))</f>
        <v>4.97</v>
      </c>
    </row>
    <row r="55">
      <c r="A55" t="n">
        <v>0</v>
      </c>
      <c r="C55">
        <f>C$53</f>
        <v>1</v>
      </c>
      <c r="D55">
        <f>D$53</f>
        <v>1</v>
      </c>
      <c r="E55">
        <f>E$53</f>
        <v>1</v>
      </c>
      <c r="F55">
        <f>F$53</f>
        <v>1</v>
      </c>
      <c r="G55">
        <f>G$53</f>
        <v>0</v>
      </c>
      <c r="H55">
        <f>H$53</f>
        <v>0</v>
      </c>
      <c r="I55">
        <f>I$53</f>
        <v>0</v>
      </c>
      <c r="J55">
        <f>J$53</f>
        <v>0</v>
      </c>
      <c r="K55">
        <f>K$53</f>
        <v>0</v>
      </c>
      <c r="L55">
        <f>L$53</f>
        <v>0</v>
      </c>
      <c r="M55">
        <f>M$53</f>
        <v>0</v>
      </c>
      <c r="N55">
        <f>N$53</f>
        <v>0</v>
      </c>
      <c r="O55">
        <f>O$53</f>
        <v>0</v>
      </c>
      <c r="P55">
        <f>P$53</f>
        <v>0</v>
      </c>
      <c r="Q55">
        <f>Q$53</f>
        <v>0</v>
      </c>
      <c r="S55">
        <f>SUMPRODUCT($C55:$Q55,$C$51:$Q$51)</f>
        <v>1</v>
      </c>
      <c r="T55">
        <f>$J$22+$B$48-SUMPRODUCT(1-$C55:$Q55,$C$50:$Q$50)</f>
        <v>17474.29</v>
      </c>
      <c r="AD55">
        <f>IF(AND(ISNUMBER(Movimenti!$A37),Movimenti!$L37&lt;&gt;""),Movimenti!$A37,$B$32)</f>
        <v>45935.0</v>
      </c>
      <c r="AE55">
        <f>IF(Movimenti!$L37="",0,N(Movimenti!$L37))</f>
        <v>-386.4</v>
      </c>
    </row>
    <row r="56">
      <c r="A56" t="n">
        <v>1</v>
      </c>
      <c r="C56">
        <f>IF(AND(C55=1,C75&gt;=-0.000001),1,0)</f>
        <v>1</v>
      </c>
      <c r="D56">
        <f>IF(AND(D55=1,D75&gt;=-0.000001),1,0)</f>
        <v>1</v>
      </c>
      <c r="E56">
        <f>IF(AND(E55=1,E75&gt;=-0.000001),1,0)</f>
        <v>1</v>
      </c>
      <c r="F56">
        <f>IF(AND(F55=1,F75&gt;=-0.000001),1,0)</f>
        <v>1</v>
      </c>
      <c r="G56">
        <f>IF(AND(G55=1,G75&gt;=-0.000001),1,0)</f>
        <v>0</v>
      </c>
      <c r="H56">
        <f>IF(AND(H55=1,H75&gt;=-0.000001),1,0)</f>
        <v>0</v>
      </c>
      <c r="I56">
        <f>IF(AND(I55=1,I75&gt;=-0.000001),1,0)</f>
        <v>0</v>
      </c>
      <c r="J56">
        <f>IF(AND(J55=1,J75&gt;=-0.000001),1,0)</f>
        <v>0</v>
      </c>
      <c r="K56">
        <f>IF(AND(K55=1,K75&gt;=-0.000001),1,0)</f>
        <v>0</v>
      </c>
      <c r="L56">
        <f>IF(AND(L55=1,L75&gt;=-0.000001),1,0)</f>
        <v>0</v>
      </c>
      <c r="M56">
        <f>IF(AND(M55=1,M75&gt;=-0.000001),1,0)</f>
        <v>0</v>
      </c>
      <c r="N56">
        <f>IF(AND(N55=1,N75&gt;=-0.000001),1,0)</f>
        <v>0</v>
      </c>
      <c r="O56">
        <f>IF(AND(O55=1,O75&gt;=-0.000001),1,0)</f>
        <v>0</v>
      </c>
      <c r="P56">
        <f>IF(AND(P55=1,P75&gt;=-0.000001),1,0)</f>
        <v>0</v>
      </c>
      <c r="Q56">
        <f>IF(AND(Q55=1,Q75&gt;=-0.000001),1,0)</f>
        <v>0</v>
      </c>
      <c r="S56">
        <f>SUMPRODUCT($C56:$Q56,$C$51:$Q$51)</f>
        <v>1</v>
      </c>
      <c r="T56">
        <f>$J$22+$B$48-SUMPRODUCT(1-$C56:$Q56,$C$50:$Q$50)</f>
        <v>17474.29</v>
      </c>
      <c r="AD56">
        <f>IF(AND(ISNUMBER(Movimenti!$A38),Movimenti!$L38&lt;&gt;""),Movimenti!$A38,$B$32)</f>
        <v>45966.0</v>
      </c>
      <c r="AE56">
        <f>IF(Movimenti!$L38="",0,N(Movimenti!$L38))</f>
        <v>-305.65</v>
      </c>
    </row>
    <row r="57">
      <c r="A57" t="n">
        <v>2</v>
      </c>
      <c r="C57">
        <f>IF(AND(C56=1,C76&gt;=-0.000001),1,0)</f>
        <v>1</v>
      </c>
      <c r="D57">
        <f>IF(AND(D56=1,D76&gt;=-0.000001),1,0)</f>
        <v>1</v>
      </c>
      <c r="E57">
        <f>IF(AND(E56=1,E76&gt;=-0.000001),1,0)</f>
        <v>1</v>
      </c>
      <c r="F57">
        <f>IF(AND(F56=1,F76&gt;=-0.000001),1,0)</f>
        <v>1</v>
      </c>
      <c r="G57">
        <f>IF(AND(G56=1,G76&gt;=-0.000001),1,0)</f>
        <v>0</v>
      </c>
      <c r="H57">
        <f>IF(AND(H56=1,H76&gt;=-0.000001),1,0)</f>
        <v>0</v>
      </c>
      <c r="I57">
        <f>IF(AND(I56=1,I76&gt;=-0.000001),1,0)</f>
        <v>0</v>
      </c>
      <c r="J57">
        <f>IF(AND(J56=1,J76&gt;=-0.000001),1,0)</f>
        <v>0</v>
      </c>
      <c r="K57">
        <f>IF(AND(K56=1,K76&gt;=-0.000001),1,0)</f>
        <v>0</v>
      </c>
      <c r="L57">
        <f>IF(AND(L56=1,L76&gt;=-0.000001),1,0)</f>
        <v>0</v>
      </c>
      <c r="M57">
        <f>IF(AND(M56=1,M76&gt;=-0.000001),1,0)</f>
        <v>0</v>
      </c>
      <c r="N57">
        <f>IF(AND(N56=1,N76&gt;=-0.000001),1,0)</f>
        <v>0</v>
      </c>
      <c r="O57">
        <f>IF(AND(O56=1,O76&gt;=-0.000001),1,0)</f>
        <v>0</v>
      </c>
      <c r="P57">
        <f>IF(AND(P56=1,P76&gt;=-0.000001),1,0)</f>
        <v>0</v>
      </c>
      <c r="Q57">
        <f>IF(AND(Q56=1,Q76&gt;=-0.000001),1,0)</f>
        <v>0</v>
      </c>
      <c r="S57">
        <f>SUMPRODUCT($C57:$Q57,$C$51:$Q$51)</f>
        <v>1</v>
      </c>
      <c r="T57">
        <f>$J$22+$B$48-SUMPRODUCT(1-$C57:$Q57,$C$50:$Q$50)</f>
        <v>17474.29</v>
      </c>
      <c r="AD57">
        <f>IF(AND(ISNUMBER(Movimenti!$A39),Movimenti!$L39&lt;&gt;""),Movimenti!$A39,$B$32)</f>
        <v>45966.0</v>
      </c>
      <c r="AE57">
        <f>IF(Movimenti!$L39="",0,N(Movimenti!$L39))</f>
        <v>-79.05</v>
      </c>
    </row>
    <row r="58">
      <c r="A58" t="n">
        <v>3</v>
      </c>
      <c r="C58">
        <f>IF(AND(C57=1,C77&gt;=-0.000001),1,0)</f>
        <v>1</v>
      </c>
      <c r="D58">
        <f>IF(AND(D57=1,D77&gt;=-0.000001),1,0)</f>
        <v>1</v>
      </c>
      <c r="E58">
        <f>IF(AND(E57=1,E77&gt;=-0.000001),1,0)</f>
        <v>1</v>
      </c>
      <c r="F58">
        <f>IF(AND(F57=1,F77&gt;=-0.000001),1,0)</f>
        <v>1</v>
      </c>
      <c r="G58">
        <f>IF(AND(G57=1,G77&gt;=-0.000001),1,0)</f>
        <v>0</v>
      </c>
      <c r="H58">
        <f>IF(AND(H57=1,H77&gt;=-0.000001),1,0)</f>
        <v>0</v>
      </c>
      <c r="I58">
        <f>IF(AND(I57=1,I77&gt;=-0.000001),1,0)</f>
        <v>0</v>
      </c>
      <c r="J58">
        <f>IF(AND(J57=1,J77&gt;=-0.000001),1,0)</f>
        <v>0</v>
      </c>
      <c r="K58">
        <f>IF(AND(K57=1,K77&gt;=-0.000001),1,0)</f>
        <v>0</v>
      </c>
      <c r="L58">
        <f>IF(AND(L57=1,L77&gt;=-0.000001),1,0)</f>
        <v>0</v>
      </c>
      <c r="M58">
        <f>IF(AND(M57=1,M77&gt;=-0.000001),1,0)</f>
        <v>0</v>
      </c>
      <c r="N58">
        <f>IF(AND(N57=1,N77&gt;=-0.000001),1,0)</f>
        <v>0</v>
      </c>
      <c r="O58">
        <f>IF(AND(O57=1,O77&gt;=-0.000001),1,0)</f>
        <v>0</v>
      </c>
      <c r="P58">
        <f>IF(AND(P57=1,P77&gt;=-0.000001),1,0)</f>
        <v>0</v>
      </c>
      <c r="Q58">
        <f>IF(AND(Q57=1,Q77&gt;=-0.000001),1,0)</f>
        <v>0</v>
      </c>
      <c r="S58">
        <f>SUMPRODUCT($C58:$Q58,$C$51:$Q$51)</f>
        <v>1</v>
      </c>
      <c r="T58">
        <f>$J$22+$B$48-SUMPRODUCT(1-$C58:$Q58,$C$50:$Q$50)</f>
        <v>17474.29</v>
      </c>
      <c r="AD58">
        <f>IF(AND(ISNUMBER(Movimenti!$A40),Movimenti!$L40&lt;&gt;""),Movimenti!$A40,$B$32)</f>
        <v>45996.0</v>
      </c>
      <c r="AE58">
        <f>IF(Movimenti!$L40="",0,N(Movimenti!$L40))</f>
        <v>-106.36</v>
      </c>
    </row>
    <row r="59">
      <c r="A59" t="n">
        <v>4</v>
      </c>
      <c r="C59">
        <f>IF(AND(C58=1,C78&gt;=-0.000001),1,0)</f>
        <v>1</v>
      </c>
      <c r="D59">
        <f>IF(AND(D58=1,D78&gt;=-0.000001),1,0)</f>
        <v>1</v>
      </c>
      <c r="E59">
        <f>IF(AND(E58=1,E78&gt;=-0.000001),1,0)</f>
        <v>1</v>
      </c>
      <c r="F59">
        <f>IF(AND(F58=1,F78&gt;=-0.000001),1,0)</f>
        <v>1</v>
      </c>
      <c r="G59">
        <f>IF(AND(G58=1,G78&gt;=-0.000001),1,0)</f>
        <v>0</v>
      </c>
      <c r="H59">
        <f>IF(AND(H58=1,H78&gt;=-0.000001),1,0)</f>
        <v>0</v>
      </c>
      <c r="I59">
        <f>IF(AND(I58=1,I78&gt;=-0.000001),1,0)</f>
        <v>0</v>
      </c>
      <c r="J59">
        <f>IF(AND(J58=1,J78&gt;=-0.000001),1,0)</f>
        <v>0</v>
      </c>
      <c r="K59">
        <f>IF(AND(K58=1,K78&gt;=-0.000001),1,0)</f>
        <v>0</v>
      </c>
      <c r="L59">
        <f>IF(AND(L58=1,L78&gt;=-0.000001),1,0)</f>
        <v>0</v>
      </c>
      <c r="M59">
        <f>IF(AND(M58=1,M78&gt;=-0.000001),1,0)</f>
        <v>0</v>
      </c>
      <c r="N59">
        <f>IF(AND(N58=1,N78&gt;=-0.000001),1,0)</f>
        <v>0</v>
      </c>
      <c r="O59">
        <f>IF(AND(O58=1,O78&gt;=-0.000001),1,0)</f>
        <v>0</v>
      </c>
      <c r="P59">
        <f>IF(AND(P58=1,P78&gt;=-0.000001),1,0)</f>
        <v>0</v>
      </c>
      <c r="Q59">
        <f>IF(AND(Q58=1,Q78&gt;=-0.000001),1,0)</f>
        <v>0</v>
      </c>
      <c r="S59">
        <f>SUMPRODUCT($C59:$Q59,$C$51:$Q$51)</f>
        <v>1</v>
      </c>
      <c r="T59">
        <f>$J$22+$B$48-SUMPRODUCT(1-$C59:$Q59,$C$50:$Q$50)</f>
        <v>17474.29</v>
      </c>
      <c r="AD59">
        <f>IF(AND(ISNUMBER(Movimenti!$A41),Movimenti!$L41&lt;&gt;""),Movimenti!$A41,$B$32)</f>
        <v>45996.0</v>
      </c>
      <c r="AE59">
        <f>IF(Movimenti!$L41="",0,N(Movimenti!$L41))</f>
        <v>-45.05</v>
      </c>
    </row>
    <row r="60">
      <c r="A60" t="n">
        <v>5</v>
      </c>
      <c r="C60">
        <f>IF(AND(C59=1,C79&gt;=-0.000001),1,0)</f>
        <v>1</v>
      </c>
      <c r="D60">
        <f>IF(AND(D59=1,D79&gt;=-0.000001),1,0)</f>
        <v>1</v>
      </c>
      <c r="E60">
        <f>IF(AND(E59=1,E79&gt;=-0.000001),1,0)</f>
        <v>1</v>
      </c>
      <c r="F60">
        <f>IF(AND(F59=1,F79&gt;=-0.000001),1,0)</f>
        <v>1</v>
      </c>
      <c r="G60">
        <f>IF(AND(G59=1,G79&gt;=-0.000001),1,0)</f>
        <v>0</v>
      </c>
      <c r="H60">
        <f>IF(AND(H59=1,H79&gt;=-0.000001),1,0)</f>
        <v>0</v>
      </c>
      <c r="I60">
        <f>IF(AND(I59=1,I79&gt;=-0.000001),1,0)</f>
        <v>0</v>
      </c>
      <c r="J60">
        <f>IF(AND(J59=1,J79&gt;=-0.000001),1,0)</f>
        <v>0</v>
      </c>
      <c r="K60">
        <f>IF(AND(K59=1,K79&gt;=-0.000001),1,0)</f>
        <v>0</v>
      </c>
      <c r="L60">
        <f>IF(AND(L59=1,L79&gt;=-0.000001),1,0)</f>
        <v>0</v>
      </c>
      <c r="M60">
        <f>IF(AND(M59=1,M79&gt;=-0.000001),1,0)</f>
        <v>0</v>
      </c>
      <c r="N60">
        <f>IF(AND(N59=1,N79&gt;=-0.000001),1,0)</f>
        <v>0</v>
      </c>
      <c r="O60">
        <f>IF(AND(O59=1,O79&gt;=-0.000001),1,0)</f>
        <v>0</v>
      </c>
      <c r="P60">
        <f>IF(AND(P59=1,P79&gt;=-0.000001),1,0)</f>
        <v>0</v>
      </c>
      <c r="Q60">
        <f>IF(AND(Q59=1,Q79&gt;=-0.000001),1,0)</f>
        <v>0</v>
      </c>
      <c r="S60">
        <f>SUMPRODUCT($C60:$Q60,$C$51:$Q$51)</f>
        <v>1</v>
      </c>
      <c r="T60">
        <f>$J$22+$B$48-SUMPRODUCT(1-$C60:$Q60,$C$50:$Q$50)</f>
        <v>17474.29</v>
      </c>
      <c r="AD60">
        <f>IF(AND(ISNUMBER(Movimenti!$A42),Movimenti!$L42&lt;&gt;""),Movimenti!$A42,$B$32)</f>
        <v>45996.0</v>
      </c>
      <c r="AE60">
        <f>IF(Movimenti!$L42="",0,N(Movimenti!$L42))</f>
        <v>-208.4</v>
      </c>
    </row>
    <row r="61">
      <c r="A61" t="n">
        <v>6</v>
      </c>
      <c r="C61">
        <f>IF(AND(C60=1,C80&gt;=-0.000001),1,0)</f>
        <v>1</v>
      </c>
      <c r="D61">
        <f>IF(AND(D60=1,D80&gt;=-0.000001),1,0)</f>
        <v>1</v>
      </c>
      <c r="E61">
        <f>IF(AND(E60=1,E80&gt;=-0.000001),1,0)</f>
        <v>1</v>
      </c>
      <c r="F61">
        <f>IF(AND(F60=1,F80&gt;=-0.000001),1,0)</f>
        <v>1</v>
      </c>
      <c r="G61">
        <f>IF(AND(G60=1,G80&gt;=-0.000001),1,0)</f>
        <v>0</v>
      </c>
      <c r="H61">
        <f>IF(AND(H60=1,H80&gt;=-0.000001),1,0)</f>
        <v>0</v>
      </c>
      <c r="I61">
        <f>IF(AND(I60=1,I80&gt;=-0.000001),1,0)</f>
        <v>0</v>
      </c>
      <c r="J61">
        <f>IF(AND(J60=1,J80&gt;=-0.000001),1,0)</f>
        <v>0</v>
      </c>
      <c r="K61">
        <f>IF(AND(K60=1,K80&gt;=-0.000001),1,0)</f>
        <v>0</v>
      </c>
      <c r="L61">
        <f>IF(AND(L60=1,L80&gt;=-0.000001),1,0)</f>
        <v>0</v>
      </c>
      <c r="M61">
        <f>IF(AND(M60=1,M80&gt;=-0.000001),1,0)</f>
        <v>0</v>
      </c>
      <c r="N61">
        <f>IF(AND(N60=1,N80&gt;=-0.000001),1,0)</f>
        <v>0</v>
      </c>
      <c r="O61">
        <f>IF(AND(O60=1,O80&gt;=-0.000001),1,0)</f>
        <v>0</v>
      </c>
      <c r="P61">
        <f>IF(AND(P60=1,P80&gt;=-0.000001),1,0)</f>
        <v>0</v>
      </c>
      <c r="Q61">
        <f>IF(AND(Q60=1,Q80&gt;=-0.000001),1,0)</f>
        <v>0</v>
      </c>
      <c r="S61">
        <f>SUMPRODUCT($C61:$Q61,$C$51:$Q$51)</f>
        <v>1</v>
      </c>
      <c r="T61">
        <f>$J$22+$B$48-SUMPRODUCT(1-$C61:$Q61,$C$50:$Q$50)</f>
        <v>17474.29</v>
      </c>
      <c r="AD61">
        <f>IF(AND(ISNUMBER(Movimenti!$A43),Movimenti!$L43&lt;&gt;""),Movimenti!$A43,$B$32)</f>
        <v>46011.0</v>
      </c>
      <c r="AE61">
        <f>IF(Movimenti!$L43="",0,N(Movimenti!$L43))</f>
        <v>17.36</v>
      </c>
    </row>
    <row r="62">
      <c r="A62" t="n">
        <v>7</v>
      </c>
      <c r="C62">
        <f>IF(AND(C61=1,C81&gt;=-0.000001),1,0)</f>
        <v>1</v>
      </c>
      <c r="D62">
        <f>IF(AND(D61=1,D81&gt;=-0.000001),1,0)</f>
        <v>1</v>
      </c>
      <c r="E62">
        <f>IF(AND(E61=1,E81&gt;=-0.000001),1,0)</f>
        <v>1</v>
      </c>
      <c r="F62">
        <f>IF(AND(F61=1,F81&gt;=-0.000001),1,0)</f>
        <v>1</v>
      </c>
      <c r="G62">
        <f>IF(AND(G61=1,G81&gt;=-0.000001),1,0)</f>
        <v>0</v>
      </c>
      <c r="H62">
        <f>IF(AND(H61=1,H81&gt;=-0.000001),1,0)</f>
        <v>0</v>
      </c>
      <c r="I62">
        <f>IF(AND(I61=1,I81&gt;=-0.000001),1,0)</f>
        <v>0</v>
      </c>
      <c r="J62">
        <f>IF(AND(J61=1,J81&gt;=-0.000001),1,0)</f>
        <v>0</v>
      </c>
      <c r="K62">
        <f>IF(AND(K61=1,K81&gt;=-0.000001),1,0)</f>
        <v>0</v>
      </c>
      <c r="L62">
        <f>IF(AND(L61=1,L81&gt;=-0.000001),1,0)</f>
        <v>0</v>
      </c>
      <c r="M62">
        <f>IF(AND(M61=1,M81&gt;=-0.000001),1,0)</f>
        <v>0</v>
      </c>
      <c r="N62">
        <f>IF(AND(N61=1,N81&gt;=-0.000001),1,0)</f>
        <v>0</v>
      </c>
      <c r="O62">
        <f>IF(AND(O61=1,O81&gt;=-0.000001),1,0)</f>
        <v>0</v>
      </c>
      <c r="P62">
        <f>IF(AND(P61=1,P81&gt;=-0.000001),1,0)</f>
        <v>0</v>
      </c>
      <c r="Q62">
        <f>IF(AND(Q61=1,Q81&gt;=-0.000001),1,0)</f>
        <v>0</v>
      </c>
      <c r="S62">
        <f>SUMPRODUCT($C62:$Q62,$C$51:$Q$51)</f>
        <v>1</v>
      </c>
      <c r="T62">
        <f>$J$22+$B$48-SUMPRODUCT(1-$C62:$Q62,$C$50:$Q$50)</f>
        <v>17474.29</v>
      </c>
      <c r="AD62">
        <f>IF(AND(ISNUMBER(Movimenti!$A44),Movimenti!$L44&lt;&gt;""),Movimenti!$A44,$B$32)</f>
        <v>46016.0</v>
      </c>
      <c r="AE62">
        <f>IF(Movimenti!$L44="",0,N(Movimenti!$L44))</f>
        <v>5.15</v>
      </c>
    </row>
    <row r="63">
      <c r="A63" t="n">
        <v>8</v>
      </c>
      <c r="C63">
        <f>IF(AND(C62=1,C82&gt;=-0.000001),1,0)</f>
        <v>1</v>
      </c>
      <c r="D63">
        <f>IF(AND(D62=1,D82&gt;=-0.000001),1,0)</f>
        <v>1</v>
      </c>
      <c r="E63">
        <f>IF(AND(E62=1,E82&gt;=-0.000001),1,0)</f>
        <v>1</v>
      </c>
      <c r="F63">
        <f>IF(AND(F62=1,F82&gt;=-0.000001),1,0)</f>
        <v>1</v>
      </c>
      <c r="G63">
        <f>IF(AND(G62=1,G82&gt;=-0.000001),1,0)</f>
        <v>0</v>
      </c>
      <c r="H63">
        <f>IF(AND(H62=1,H82&gt;=-0.000001),1,0)</f>
        <v>0</v>
      </c>
      <c r="I63">
        <f>IF(AND(I62=1,I82&gt;=-0.000001),1,0)</f>
        <v>0</v>
      </c>
      <c r="J63">
        <f>IF(AND(J62=1,J82&gt;=-0.000001),1,0)</f>
        <v>0</v>
      </c>
      <c r="K63">
        <f>IF(AND(K62=1,K82&gt;=-0.000001),1,0)</f>
        <v>0</v>
      </c>
      <c r="L63">
        <f>IF(AND(L62=1,L82&gt;=-0.000001),1,0)</f>
        <v>0</v>
      </c>
      <c r="M63">
        <f>IF(AND(M62=1,M82&gt;=-0.000001),1,0)</f>
        <v>0</v>
      </c>
      <c r="N63">
        <f>IF(AND(N62=1,N82&gt;=-0.000001),1,0)</f>
        <v>0</v>
      </c>
      <c r="O63">
        <f>IF(AND(O62=1,O82&gt;=-0.000001),1,0)</f>
        <v>0</v>
      </c>
      <c r="P63">
        <f>IF(AND(P62=1,P82&gt;=-0.000001),1,0)</f>
        <v>0</v>
      </c>
      <c r="Q63">
        <f>IF(AND(Q62=1,Q82&gt;=-0.000001),1,0)</f>
        <v>0</v>
      </c>
      <c r="S63">
        <f>SUMPRODUCT($C63:$Q63,$C$51:$Q$51)</f>
        <v>1</v>
      </c>
      <c r="T63">
        <f>$J$22+$B$48-SUMPRODUCT(1-$C63:$Q63,$C$50:$Q$50)</f>
        <v>17474.29</v>
      </c>
      <c r="AD63">
        <f>IF(AND(ISNUMBER(Movimenti!$A45),Movimenti!$L45&lt;&gt;""),Movimenti!$A45,$B$32)</f>
        <v>46027.0</v>
      </c>
      <c r="AE63">
        <f>IF(Movimenti!$L45="",0,N(Movimenti!$L45))</f>
        <v>-212.76</v>
      </c>
    </row>
    <row r="64">
      <c r="A64" t="n">
        <v>9</v>
      </c>
      <c r="C64">
        <f>IF(AND(C63=1,C83&gt;=-0.000001),1,0)</f>
        <v>1</v>
      </c>
      <c r="D64">
        <f>IF(AND(D63=1,D83&gt;=-0.000001),1,0)</f>
        <v>1</v>
      </c>
      <c r="E64">
        <f>IF(AND(E63=1,E83&gt;=-0.000001),1,0)</f>
        <v>1</v>
      </c>
      <c r="F64">
        <f>IF(AND(F63=1,F83&gt;=-0.000001),1,0)</f>
        <v>1</v>
      </c>
      <c r="G64">
        <f>IF(AND(G63=1,G83&gt;=-0.000001),1,0)</f>
        <v>0</v>
      </c>
      <c r="H64">
        <f>IF(AND(H63=1,H83&gt;=-0.000001),1,0)</f>
        <v>0</v>
      </c>
      <c r="I64">
        <f>IF(AND(I63=1,I83&gt;=-0.000001),1,0)</f>
        <v>0</v>
      </c>
      <c r="J64">
        <f>IF(AND(J63=1,J83&gt;=-0.000001),1,0)</f>
        <v>0</v>
      </c>
      <c r="K64">
        <f>IF(AND(K63=1,K83&gt;=-0.000001),1,0)</f>
        <v>0</v>
      </c>
      <c r="L64">
        <f>IF(AND(L63=1,L83&gt;=-0.000001),1,0)</f>
        <v>0</v>
      </c>
      <c r="M64">
        <f>IF(AND(M63=1,M83&gt;=-0.000001),1,0)</f>
        <v>0</v>
      </c>
      <c r="N64">
        <f>IF(AND(N63=1,N83&gt;=-0.000001),1,0)</f>
        <v>0</v>
      </c>
      <c r="O64">
        <f>IF(AND(O63=1,O83&gt;=-0.000001),1,0)</f>
        <v>0</v>
      </c>
      <c r="P64">
        <f>IF(AND(P63=1,P83&gt;=-0.000001),1,0)</f>
        <v>0</v>
      </c>
      <c r="Q64">
        <f>IF(AND(Q63=1,Q83&gt;=-0.000001),1,0)</f>
        <v>0</v>
      </c>
      <c r="S64">
        <f>SUMPRODUCT($C64:$Q64,$C$51:$Q$51)</f>
        <v>1</v>
      </c>
      <c r="T64">
        <f>$J$22+$B$48-SUMPRODUCT(1-$C64:$Q64,$C$50:$Q$50)</f>
        <v>17474.29</v>
      </c>
      <c r="AD64">
        <f>IF(AND(ISNUMBER(Movimenti!$A46),Movimenti!$L46&lt;&gt;""),Movimenti!$A46,$B$32)</f>
        <v>46027.0</v>
      </c>
      <c r="AE64">
        <f>IF(Movimenti!$L46="",0,N(Movimenti!$L46))</f>
        <v>-46.71</v>
      </c>
    </row>
    <row r="65">
      <c r="A65" t="n">
        <v>10</v>
      </c>
      <c r="C65">
        <f>IF(AND(C64=1,C84&gt;=-0.000001),1,0)</f>
        <v>1</v>
      </c>
      <c r="D65">
        <f>IF(AND(D64=1,D84&gt;=-0.000001),1,0)</f>
        <v>1</v>
      </c>
      <c r="E65">
        <f>IF(AND(E64=1,E84&gt;=-0.000001),1,0)</f>
        <v>1</v>
      </c>
      <c r="F65">
        <f>IF(AND(F64=1,F84&gt;=-0.000001),1,0)</f>
        <v>1</v>
      </c>
      <c r="G65">
        <f>IF(AND(G64=1,G84&gt;=-0.000001),1,0)</f>
        <v>0</v>
      </c>
      <c r="H65">
        <f>IF(AND(H64=1,H84&gt;=-0.000001),1,0)</f>
        <v>0</v>
      </c>
      <c r="I65">
        <f>IF(AND(I64=1,I84&gt;=-0.000001),1,0)</f>
        <v>0</v>
      </c>
      <c r="J65">
        <f>IF(AND(J64=1,J84&gt;=-0.000001),1,0)</f>
        <v>0</v>
      </c>
      <c r="K65">
        <f>IF(AND(K64=1,K84&gt;=-0.000001),1,0)</f>
        <v>0</v>
      </c>
      <c r="L65">
        <f>IF(AND(L64=1,L84&gt;=-0.000001),1,0)</f>
        <v>0</v>
      </c>
      <c r="M65">
        <f>IF(AND(M64=1,M84&gt;=-0.000001),1,0)</f>
        <v>0</v>
      </c>
      <c r="N65">
        <f>IF(AND(N64=1,N84&gt;=-0.000001),1,0)</f>
        <v>0</v>
      </c>
      <c r="O65">
        <f>IF(AND(O64=1,O84&gt;=-0.000001),1,0)</f>
        <v>0</v>
      </c>
      <c r="P65">
        <f>IF(AND(P64=1,P84&gt;=-0.000001),1,0)</f>
        <v>0</v>
      </c>
      <c r="Q65">
        <f>IF(AND(Q64=1,Q84&gt;=-0.000001),1,0)</f>
        <v>0</v>
      </c>
      <c r="S65">
        <f>SUMPRODUCT($C65:$Q65,$C$51:$Q$51)</f>
        <v>1</v>
      </c>
      <c r="T65">
        <f>$J$22+$B$48-SUMPRODUCT(1-$C65:$Q65,$C$50:$Q$50)</f>
        <v>17474.29</v>
      </c>
      <c r="AD65">
        <f>IF(AND(ISNUMBER(Movimenti!$A47),Movimenti!$L47&lt;&gt;""),Movimenti!$A47,$B$32)</f>
        <v>46027.0</v>
      </c>
      <c r="AE65">
        <f>IF(Movimenti!$L47="",0,N(Movimenti!$L47))</f>
        <v>-105.78</v>
      </c>
    </row>
    <row r="66">
      <c r="A66" t="n">
        <v>11</v>
      </c>
      <c r="C66">
        <f>IF(AND(C65=1,C85&gt;=-0.000001),1,0)</f>
        <v>1</v>
      </c>
      <c r="D66">
        <f>IF(AND(D65=1,D85&gt;=-0.000001),1,0)</f>
        <v>1</v>
      </c>
      <c r="E66">
        <f>IF(AND(E65=1,E85&gt;=-0.000001),1,0)</f>
        <v>1</v>
      </c>
      <c r="F66">
        <f>IF(AND(F65=1,F85&gt;=-0.000001),1,0)</f>
        <v>1</v>
      </c>
      <c r="G66">
        <f>IF(AND(G65=1,G85&gt;=-0.000001),1,0)</f>
        <v>0</v>
      </c>
      <c r="H66">
        <f>IF(AND(H65=1,H85&gt;=-0.000001),1,0)</f>
        <v>0</v>
      </c>
      <c r="I66">
        <f>IF(AND(I65=1,I85&gt;=-0.000001),1,0)</f>
        <v>0</v>
      </c>
      <c r="J66">
        <f>IF(AND(J65=1,J85&gt;=-0.000001),1,0)</f>
        <v>0</v>
      </c>
      <c r="K66">
        <f>IF(AND(K65=1,K85&gt;=-0.000001),1,0)</f>
        <v>0</v>
      </c>
      <c r="L66">
        <f>IF(AND(L65=1,L85&gt;=-0.000001),1,0)</f>
        <v>0</v>
      </c>
      <c r="M66">
        <f>IF(AND(M65=1,M85&gt;=-0.000001),1,0)</f>
        <v>0</v>
      </c>
      <c r="N66">
        <f>IF(AND(N65=1,N85&gt;=-0.000001),1,0)</f>
        <v>0</v>
      </c>
      <c r="O66">
        <f>IF(AND(O65=1,O85&gt;=-0.000001),1,0)</f>
        <v>0</v>
      </c>
      <c r="P66">
        <f>IF(AND(P65=1,P85&gt;=-0.000001),1,0)</f>
        <v>0</v>
      </c>
      <c r="Q66">
        <f>IF(AND(Q65=1,Q85&gt;=-0.000001),1,0)</f>
        <v>0</v>
      </c>
      <c r="S66">
        <f>SUMPRODUCT($C66:$Q66,$C$51:$Q$51)</f>
        <v>1</v>
      </c>
      <c r="T66">
        <f>$J$22+$B$48-SUMPRODUCT(1-$C66:$Q66,$C$50:$Q$50)</f>
        <v>17474.29</v>
      </c>
      <c r="AD66">
        <f>IF(AND(ISNUMBER(Movimenti!$A48),Movimenti!$L48&lt;&gt;""),Movimenti!$A48,$B$32)</f>
        <v>46058.0</v>
      </c>
      <c r="AE66">
        <f>IF(Movimenti!$L48="",0,N(Movimenti!$L48))</f>
        <v>-106.85</v>
      </c>
    </row>
    <row r="67">
      <c r="A67" t="n">
        <v>12</v>
      </c>
      <c r="C67">
        <f>IF(AND(C66=1,C86&gt;=-0.000001),1,0)</f>
        <v>1</v>
      </c>
      <c r="D67">
        <f>IF(AND(D66=1,D86&gt;=-0.000001),1,0)</f>
        <v>1</v>
      </c>
      <c r="E67">
        <f>IF(AND(E66=1,E86&gt;=-0.000001),1,0)</f>
        <v>1</v>
      </c>
      <c r="F67">
        <f>IF(AND(F66=1,F86&gt;=-0.000001),1,0)</f>
        <v>1</v>
      </c>
      <c r="G67">
        <f>IF(AND(G66=1,G86&gt;=-0.000001),1,0)</f>
        <v>0</v>
      </c>
      <c r="H67">
        <f>IF(AND(H66=1,H86&gt;=-0.000001),1,0)</f>
        <v>0</v>
      </c>
      <c r="I67">
        <f>IF(AND(I66=1,I86&gt;=-0.000001),1,0)</f>
        <v>0</v>
      </c>
      <c r="J67">
        <f>IF(AND(J66=1,J86&gt;=-0.000001),1,0)</f>
        <v>0</v>
      </c>
      <c r="K67">
        <f>IF(AND(K66=1,K86&gt;=-0.000001),1,0)</f>
        <v>0</v>
      </c>
      <c r="L67">
        <f>IF(AND(L66=1,L86&gt;=-0.000001),1,0)</f>
        <v>0</v>
      </c>
      <c r="M67">
        <f>IF(AND(M66=1,M86&gt;=-0.000001),1,0)</f>
        <v>0</v>
      </c>
      <c r="N67">
        <f>IF(AND(N66=1,N86&gt;=-0.000001),1,0)</f>
        <v>0</v>
      </c>
      <c r="O67">
        <f>IF(AND(O66=1,O86&gt;=-0.000001),1,0)</f>
        <v>0</v>
      </c>
      <c r="P67">
        <f>IF(AND(P66=1,P86&gt;=-0.000001),1,0)</f>
        <v>0</v>
      </c>
      <c r="Q67">
        <f>IF(AND(Q66=1,Q86&gt;=-0.000001),1,0)</f>
        <v>0</v>
      </c>
      <c r="S67">
        <f>SUMPRODUCT($C67:$Q67,$C$51:$Q$51)</f>
        <v>1</v>
      </c>
      <c r="T67">
        <f>$J$22+$B$48-SUMPRODUCT(1-$C67:$Q67,$C$50:$Q$50)</f>
        <v>17474.29</v>
      </c>
      <c r="AD67">
        <f>IF(AND(ISNUMBER(Movimenti!$A49),Movimenti!$L49&lt;&gt;""),Movimenti!$A49,$B$32)</f>
        <v>46058.0</v>
      </c>
      <c r="AE67">
        <f>IF(Movimenti!$L49="",0,N(Movimenti!$L49))</f>
        <v>-87.94</v>
      </c>
    </row>
    <row r="68">
      <c r="A68" t="n">
        <v>13</v>
      </c>
      <c r="C68">
        <f>IF(AND(C67=1,C87&gt;=-0.000001),1,0)</f>
        <v>1</v>
      </c>
      <c r="D68">
        <f>IF(AND(D67=1,D87&gt;=-0.000001),1,0)</f>
        <v>1</v>
      </c>
      <c r="E68">
        <f>IF(AND(E67=1,E87&gt;=-0.000001),1,0)</f>
        <v>1</v>
      </c>
      <c r="F68">
        <f>IF(AND(F67=1,F87&gt;=-0.000001),1,0)</f>
        <v>1</v>
      </c>
      <c r="G68">
        <f>IF(AND(G67=1,G87&gt;=-0.000001),1,0)</f>
        <v>0</v>
      </c>
      <c r="H68">
        <f>IF(AND(H67=1,H87&gt;=-0.000001),1,0)</f>
        <v>0</v>
      </c>
      <c r="I68">
        <f>IF(AND(I67=1,I87&gt;=-0.000001),1,0)</f>
        <v>0</v>
      </c>
      <c r="J68">
        <f>IF(AND(J67=1,J87&gt;=-0.000001),1,0)</f>
        <v>0</v>
      </c>
      <c r="K68">
        <f>IF(AND(K67=1,K87&gt;=-0.000001),1,0)</f>
        <v>0</v>
      </c>
      <c r="L68">
        <f>IF(AND(L67=1,L87&gt;=-0.000001),1,0)</f>
        <v>0</v>
      </c>
      <c r="M68">
        <f>IF(AND(M67=1,M87&gt;=-0.000001),1,0)</f>
        <v>0</v>
      </c>
      <c r="N68">
        <f>IF(AND(N67=1,N87&gt;=-0.000001),1,0)</f>
        <v>0</v>
      </c>
      <c r="O68">
        <f>IF(AND(O67=1,O87&gt;=-0.000001),1,0)</f>
        <v>0</v>
      </c>
      <c r="P68">
        <f>IF(AND(P67=1,P87&gt;=-0.000001),1,0)</f>
        <v>0</v>
      </c>
      <c r="Q68">
        <f>IF(AND(Q67=1,Q87&gt;=-0.000001),1,0)</f>
        <v>0</v>
      </c>
      <c r="S68">
        <f>SUMPRODUCT($C68:$Q68,$C$51:$Q$51)</f>
        <v>1</v>
      </c>
      <c r="T68">
        <f>$J$22+$B$48-SUMPRODUCT(1-$C68:$Q68,$C$50:$Q$50)</f>
        <v>17474.29</v>
      </c>
      <c r="AD68">
        <f>IF(AND(ISNUMBER(Movimenti!$A50),Movimenti!$L50&lt;&gt;""),Movimenti!$A50,$B$32)</f>
        <v>46058.0</v>
      </c>
      <c r="AE68">
        <f>IF(Movimenti!$L50="",0,N(Movimenti!$L50))</f>
        <v>-105.59</v>
      </c>
    </row>
    <row r="69">
      <c r="A69" t="n">
        <v>14</v>
      </c>
      <c r="C69">
        <f>IF(AND(C68=1,C88&gt;=-0.000001),1,0)</f>
        <v>1</v>
      </c>
      <c r="D69">
        <f>IF(AND(D68=1,D88&gt;=-0.000001),1,0)</f>
        <v>1</v>
      </c>
      <c r="E69">
        <f>IF(AND(E68=1,E88&gt;=-0.000001),1,0)</f>
        <v>1</v>
      </c>
      <c r="F69">
        <f>IF(AND(F68=1,F88&gt;=-0.000001),1,0)</f>
        <v>1</v>
      </c>
      <c r="G69">
        <f>IF(AND(G68=1,G88&gt;=-0.000001),1,0)</f>
        <v>0</v>
      </c>
      <c r="H69">
        <f>IF(AND(H68=1,H88&gt;=-0.000001),1,0)</f>
        <v>0</v>
      </c>
      <c r="I69">
        <f>IF(AND(I68=1,I88&gt;=-0.000001),1,0)</f>
        <v>0</v>
      </c>
      <c r="J69">
        <f>IF(AND(J68=1,J88&gt;=-0.000001),1,0)</f>
        <v>0</v>
      </c>
      <c r="K69">
        <f>IF(AND(K68=1,K88&gt;=-0.000001),1,0)</f>
        <v>0</v>
      </c>
      <c r="L69">
        <f>IF(AND(L68=1,L88&gt;=-0.000001),1,0)</f>
        <v>0</v>
      </c>
      <c r="M69">
        <f>IF(AND(M68=1,M88&gt;=-0.000001),1,0)</f>
        <v>0</v>
      </c>
      <c r="N69">
        <f>IF(AND(N68=1,N88&gt;=-0.000001),1,0)</f>
        <v>0</v>
      </c>
      <c r="O69">
        <f>IF(AND(O68=1,O88&gt;=-0.000001),1,0)</f>
        <v>0</v>
      </c>
      <c r="P69">
        <f>IF(AND(P68=1,P88&gt;=-0.000001),1,0)</f>
        <v>0</v>
      </c>
      <c r="Q69">
        <f>IF(AND(Q68=1,Q88&gt;=-0.000001),1,0)</f>
        <v>0</v>
      </c>
      <c r="S69">
        <f>SUMPRODUCT($C69:$Q69,$C$51:$Q$51)</f>
        <v>1</v>
      </c>
      <c r="T69">
        <f>$J$22+$B$48-SUMPRODUCT(1-$C69:$Q69,$C$50:$Q$50)</f>
        <v>17474.29</v>
      </c>
      <c r="AD69">
        <f>IF(AND(ISNUMBER(Movimenti!$A51),Movimenti!$L51&lt;&gt;""),Movimenti!$A51,$B$32)</f>
        <v>46058.0</v>
      </c>
      <c r="AE69">
        <f>IF(Movimenti!$L51="",0,N(Movimenti!$L51))</f>
        <v>-83.02</v>
      </c>
    </row>
    <row r="70">
      <c r="A70" t="n">
        <v>15</v>
      </c>
      <c r="C70">
        <f>IF(AND(C69=1,C89&gt;=-0.000001),1,0)</f>
        <v>1</v>
      </c>
      <c r="D70">
        <f>IF(AND(D69=1,D89&gt;=-0.000001),1,0)</f>
        <v>1</v>
      </c>
      <c r="E70">
        <f>IF(AND(E69=1,E89&gt;=-0.000001),1,0)</f>
        <v>1</v>
      </c>
      <c r="F70">
        <f>IF(AND(F69=1,F89&gt;=-0.000001),1,0)</f>
        <v>1</v>
      </c>
      <c r="G70">
        <f>IF(AND(G69=1,G89&gt;=-0.000001),1,0)</f>
        <v>0</v>
      </c>
      <c r="H70">
        <f>IF(AND(H69=1,H89&gt;=-0.000001),1,0)</f>
        <v>0</v>
      </c>
      <c r="I70">
        <f>IF(AND(I69=1,I89&gt;=-0.000001),1,0)</f>
        <v>0</v>
      </c>
      <c r="J70">
        <f>IF(AND(J69=1,J89&gt;=-0.000001),1,0)</f>
        <v>0</v>
      </c>
      <c r="K70">
        <f>IF(AND(K69=1,K89&gt;=-0.000001),1,0)</f>
        <v>0</v>
      </c>
      <c r="L70">
        <f>IF(AND(L69=1,L89&gt;=-0.000001),1,0)</f>
        <v>0</v>
      </c>
      <c r="M70">
        <f>IF(AND(M69=1,M89&gt;=-0.000001),1,0)</f>
        <v>0</v>
      </c>
      <c r="N70">
        <f>IF(AND(N69=1,N89&gt;=-0.000001),1,0)</f>
        <v>0</v>
      </c>
      <c r="O70">
        <f>IF(AND(O69=1,O89&gt;=-0.000001),1,0)</f>
        <v>0</v>
      </c>
      <c r="P70">
        <f>IF(AND(P69=1,P89&gt;=-0.000001),1,0)</f>
        <v>0</v>
      </c>
      <c r="Q70">
        <f>IF(AND(Q69=1,Q89&gt;=-0.000001),1,0)</f>
        <v>0</v>
      </c>
      <c r="S70">
        <f>SUMPRODUCT($C70:$Q70,$C$51:$Q$51)</f>
        <v>1</v>
      </c>
      <c r="T70">
        <f>$J$22+$B$48-SUMPRODUCT(1-$C70:$Q70,$C$50:$Q$50)</f>
        <v>17474.29</v>
      </c>
      <c r="AD70">
        <f>IF(AND(ISNUMBER(Movimenti!$A52),Movimenti!$L52&lt;&gt;""),Movimenti!$A52,$B$32)</f>
        <v>46086.0</v>
      </c>
      <c r="AE70">
        <f>IF(Movimenti!$L52="",0,N(Movimenti!$L52))</f>
        <v>-130.42</v>
      </c>
    </row>
    <row r="71">
      <c r="AD71">
        <f>IF(AND(ISNUMBER(Movimenti!$A53),Movimenti!$L53&lt;&gt;""),Movimenti!$A53,$B$32)</f>
        <v>46086.0</v>
      </c>
      <c r="AE71">
        <f>IF(Movimenti!$L53="",0,N(Movimenti!$L53))</f>
        <v>-210.98</v>
      </c>
    </row>
    <row r="72">
      <c r="AD72">
        <f>IF(AND(ISNUMBER(Movimenti!$A54),Movimenti!$L54&lt;&gt;""),Movimenti!$A54,$B$32)</f>
        <v>46106.0</v>
      </c>
      <c r="AE72">
        <f>IF(Movimenti!$L54="",0,N(Movimenti!$L54))</f>
        <v>6.22</v>
      </c>
    </row>
    <row r="73">
      <c r="AD73">
        <f>IF(AND(ISNUMBER(Movimenti!$A55),Movimenti!$L55&lt;&gt;""),Movimenti!$A55,$B$32)</f>
        <v>46117.0</v>
      </c>
      <c r="AE73">
        <f>IF(Movimenti!$L55="",0,N(Movimenti!$L55))</f>
        <v>-230.58</v>
      </c>
    </row>
    <row r="74">
      <c r="A74" t="inlineStr">
        <is>
          <t>Iterazioni: quanto comprare</t>
        </is>
      </c>
      <c r="AD74">
        <f>IF(AND(ISNUMBER(Movimenti!$A56),Movimenti!$L56&lt;&gt;""),Movimenti!$A56,$B$32)</f>
        <v>46117.0</v>
      </c>
      <c r="AE74">
        <f>IF(Movimenti!$L56="",0,N(Movimenti!$L56))</f>
        <v>-106.37</v>
      </c>
    </row>
    <row r="75">
      <c r="A75" t="n">
        <v>0</v>
      </c>
      <c r="C75">
        <f>IF(C55=1,IF($S55&gt;0,C$51/$S55*$T55-C$50,0),0)</f>
        <v>272.225225</v>
      </c>
      <c r="D75">
        <f>IF(D55=1,IF($S55&gt;0,D$51/$S55*$T55-D$50,0),0)</f>
        <v>35.543275</v>
      </c>
      <c r="E75">
        <f>IF(E55=1,IF($S55&gt;0,E$51/$S55*$T55-E$50,0),0)</f>
        <v>70.1324999999997</v>
      </c>
      <c r="F75">
        <f>IF(F55=1,IF($S55&gt;0,F$51/$S55*$T55-F$50,0),0)</f>
        <v>22.0990000000002</v>
      </c>
      <c r="G75">
        <f>IF(G55=1,IF($S55&gt;0,G$51/$S55*$T55-G$50,0),0)</f>
        <v>0</v>
      </c>
      <c r="H75">
        <f>IF(H55=1,IF($S55&gt;0,H$51/$S55*$T55-H$50,0),0)</f>
        <v>0</v>
      </c>
      <c r="I75">
        <f>IF(I55=1,IF($S55&gt;0,I$51/$S55*$T55-I$50,0),0)</f>
        <v>0</v>
      </c>
      <c r="J75">
        <f>IF(J55=1,IF($S55&gt;0,J$51/$S55*$T55-J$50,0),0)</f>
        <v>0</v>
      </c>
      <c r="K75">
        <f>IF(K55=1,IF($S55&gt;0,K$51/$S55*$T55-K$50,0),0)</f>
        <v>0</v>
      </c>
      <c r="L75">
        <f>IF(L55=1,IF($S55&gt;0,L$51/$S55*$T55-L$50,0),0)</f>
        <v>0</v>
      </c>
      <c r="M75">
        <f>IF(M55=1,IF($S55&gt;0,M$51/$S55*$T55-M$50,0),0)</f>
        <v>0</v>
      </c>
      <c r="N75">
        <f>IF(N55=1,IF($S55&gt;0,N$51/$S55*$T55-N$50,0),0)</f>
        <v>0</v>
      </c>
      <c r="O75">
        <f>IF(O55=1,IF($S55&gt;0,O$51/$S55*$T55-O$50,0),0)</f>
        <v>0</v>
      </c>
      <c r="P75">
        <f>IF(P55=1,IF($S55&gt;0,P$51/$S55*$T55-P$50,0),0)</f>
        <v>0</v>
      </c>
      <c r="Q75">
        <f>IF(Q55=1,IF($S55&gt;0,Q$51/$S55*$T55-Q$50,0),0)</f>
        <v>0</v>
      </c>
      <c r="AD75">
        <f>IF(AND(ISNUMBER(Movimenti!$A57),Movimenti!$L57&lt;&gt;""),Movimenti!$A57,$B$32)</f>
        <v>46147.0</v>
      </c>
      <c r="AE75">
        <f>IF(Movimenti!$L57="",0,N(Movimenti!$L57))</f>
        <v>-340</v>
      </c>
    </row>
    <row r="76">
      <c r="A76" t="n">
        <v>1</v>
      </c>
      <c r="C76">
        <f>IF(C56=1,IF($S56&gt;0,C$51/$S56*$T56-C$50,0),0)</f>
        <v>272.225225</v>
      </c>
      <c r="D76">
        <f>IF(D56=1,IF($S56&gt;0,D$51/$S56*$T56-D$50,0),0)</f>
        <v>35.543275</v>
      </c>
      <c r="E76">
        <f>IF(E56=1,IF($S56&gt;0,E$51/$S56*$T56-E$50,0),0)</f>
        <v>70.1324999999997</v>
      </c>
      <c r="F76">
        <f>IF(F56=1,IF($S56&gt;0,F$51/$S56*$T56-F$50,0),0)</f>
        <v>22.0990000000002</v>
      </c>
      <c r="G76">
        <f>IF(G56=1,IF($S56&gt;0,G$51/$S56*$T56-G$50,0),0)</f>
        <v>0</v>
      </c>
      <c r="H76">
        <f>IF(H56=1,IF($S56&gt;0,H$51/$S56*$T56-H$50,0),0)</f>
        <v>0</v>
      </c>
      <c r="I76">
        <f>IF(I56=1,IF($S56&gt;0,I$51/$S56*$T56-I$50,0),0)</f>
        <v>0</v>
      </c>
      <c r="J76">
        <f>IF(J56=1,IF($S56&gt;0,J$51/$S56*$T56-J$50,0),0)</f>
        <v>0</v>
      </c>
      <c r="K76">
        <f>IF(K56=1,IF($S56&gt;0,K$51/$S56*$T56-K$50,0),0)</f>
        <v>0</v>
      </c>
      <c r="L76">
        <f>IF(L56=1,IF($S56&gt;0,L$51/$S56*$T56-L$50,0),0)</f>
        <v>0</v>
      </c>
      <c r="M76">
        <f>IF(M56=1,IF($S56&gt;0,M$51/$S56*$T56-M$50,0),0)</f>
        <v>0</v>
      </c>
      <c r="N76">
        <f>IF(N56=1,IF($S56&gt;0,N$51/$S56*$T56-N$50,0),0)</f>
        <v>0</v>
      </c>
      <c r="O76">
        <f>IF(O56=1,IF($S56&gt;0,O$51/$S56*$T56-O$50,0),0)</f>
        <v>0</v>
      </c>
      <c r="P76">
        <f>IF(P56=1,IF($S56&gt;0,P$51/$S56*$T56-P$50,0),0)</f>
        <v>0</v>
      </c>
      <c r="Q76">
        <f>IF(Q56=1,IF($S56&gt;0,Q$51/$S56*$T56-Q$50,0),0)</f>
        <v>0</v>
      </c>
      <c r="AD76">
        <f>IF(AND(ISNUMBER(Movimenti!$A58),Movimenti!$L58&lt;&gt;""),Movimenti!$A58,$B$32)</f>
        <v>46178.0</v>
      </c>
      <c r="AE76">
        <f>IF(Movimenti!$L58="",0,N(Movimenti!$L58))</f>
        <v>-221.1</v>
      </c>
    </row>
    <row r="77">
      <c r="A77" t="n">
        <v>2</v>
      </c>
      <c r="C77">
        <f>IF(C57=1,IF($S57&gt;0,C$51/$S57*$T57-C$50,0),0)</f>
        <v>272.225225</v>
      </c>
      <c r="D77">
        <f>IF(D57=1,IF($S57&gt;0,D$51/$S57*$T57-D$50,0),0)</f>
        <v>35.543275</v>
      </c>
      <c r="E77">
        <f>IF(E57=1,IF($S57&gt;0,E$51/$S57*$T57-E$50,0),0)</f>
        <v>70.1324999999997</v>
      </c>
      <c r="F77">
        <f>IF(F57=1,IF($S57&gt;0,F$51/$S57*$T57-F$50,0),0)</f>
        <v>22.0990000000002</v>
      </c>
      <c r="G77">
        <f>IF(G57=1,IF($S57&gt;0,G$51/$S57*$T57-G$50,0),0)</f>
        <v>0</v>
      </c>
      <c r="H77">
        <f>IF(H57=1,IF($S57&gt;0,H$51/$S57*$T57-H$50,0),0)</f>
        <v>0</v>
      </c>
      <c r="I77">
        <f>IF(I57=1,IF($S57&gt;0,I$51/$S57*$T57-I$50,0),0)</f>
        <v>0</v>
      </c>
      <c r="J77">
        <f>IF(J57=1,IF($S57&gt;0,J$51/$S57*$T57-J$50,0),0)</f>
        <v>0</v>
      </c>
      <c r="K77">
        <f>IF(K57=1,IF($S57&gt;0,K$51/$S57*$T57-K$50,0),0)</f>
        <v>0</v>
      </c>
      <c r="L77">
        <f>IF(L57=1,IF($S57&gt;0,L$51/$S57*$T57-L$50,0),0)</f>
        <v>0</v>
      </c>
      <c r="M77">
        <f>IF(M57=1,IF($S57&gt;0,M$51/$S57*$T57-M$50,0),0)</f>
        <v>0</v>
      </c>
      <c r="N77">
        <f>IF(N57=1,IF($S57&gt;0,N$51/$S57*$T57-N$50,0),0)</f>
        <v>0</v>
      </c>
      <c r="O77">
        <f>IF(O57=1,IF($S57&gt;0,O$51/$S57*$T57-O$50,0),0)</f>
        <v>0</v>
      </c>
      <c r="P77">
        <f>IF(P57=1,IF($S57&gt;0,P$51/$S57*$T57-P$50,0),0)</f>
        <v>0</v>
      </c>
      <c r="Q77">
        <f>IF(Q57=1,IF($S57&gt;0,Q$51/$S57*$T57-Q$50,0),0)</f>
        <v>0</v>
      </c>
      <c r="AD77">
        <f>IF(AND(ISNUMBER(Movimenti!$A59),Movimenti!$L59&lt;&gt;""),Movimenti!$A59,$B$32)</f>
        <v>46178.0</v>
      </c>
      <c r="AE77">
        <f>IF(Movimenti!$L59="",0,N(Movimenti!$L59))</f>
        <v>-106.78</v>
      </c>
    </row>
    <row r="78">
      <c r="A78" t="n">
        <v>3</v>
      </c>
      <c r="C78">
        <f>IF(C58=1,IF($S58&gt;0,C$51/$S58*$T58-C$50,0),0)</f>
        <v>272.225225</v>
      </c>
      <c r="D78">
        <f>IF(D58=1,IF($S58&gt;0,D$51/$S58*$T58-D$50,0),0)</f>
        <v>35.543275</v>
      </c>
      <c r="E78">
        <f>IF(E58=1,IF($S58&gt;0,E$51/$S58*$T58-E$50,0),0)</f>
        <v>70.1324999999997</v>
      </c>
      <c r="F78">
        <f>IF(F58=1,IF($S58&gt;0,F$51/$S58*$T58-F$50,0),0)</f>
        <v>22.0990000000002</v>
      </c>
      <c r="G78">
        <f>IF(G58=1,IF($S58&gt;0,G$51/$S58*$T58-G$50,0),0)</f>
        <v>0</v>
      </c>
      <c r="H78">
        <f>IF(H58=1,IF($S58&gt;0,H$51/$S58*$T58-H$50,0),0)</f>
        <v>0</v>
      </c>
      <c r="I78">
        <f>IF(I58=1,IF($S58&gt;0,I$51/$S58*$T58-I$50,0),0)</f>
        <v>0</v>
      </c>
      <c r="J78">
        <f>IF(J58=1,IF($S58&gt;0,J$51/$S58*$T58-J$50,0),0)</f>
        <v>0</v>
      </c>
      <c r="K78">
        <f>IF(K58=1,IF($S58&gt;0,K$51/$S58*$T58-K$50,0),0)</f>
        <v>0</v>
      </c>
      <c r="L78">
        <f>IF(L58=1,IF($S58&gt;0,L$51/$S58*$T58-L$50,0),0)</f>
        <v>0</v>
      </c>
      <c r="M78">
        <f>IF(M58=1,IF($S58&gt;0,M$51/$S58*$T58-M$50,0),0)</f>
        <v>0</v>
      </c>
      <c r="N78">
        <f>IF(N58=1,IF($S58&gt;0,N$51/$S58*$T58-N$50,0),0)</f>
        <v>0</v>
      </c>
      <c r="O78">
        <f>IF(O58=1,IF($S58&gt;0,O$51/$S58*$T58-O$50,0),0)</f>
        <v>0</v>
      </c>
      <c r="P78">
        <f>IF(P58=1,IF($S58&gt;0,P$51/$S58*$T58-P$50,0),0)</f>
        <v>0</v>
      </c>
      <c r="Q78">
        <f>IF(Q58=1,IF($S58&gt;0,Q$51/$S58*$T58-Q$50,0),0)</f>
        <v>0</v>
      </c>
      <c r="AD78">
        <f>IF(AND(ISNUMBER(Movimenti!$A60),Movimenti!$L60&lt;&gt;""),Movimenti!$A60,$B$32)</f>
        <v>46193.0</v>
      </c>
      <c r="AE78">
        <f>IF(Movimenti!$L60="",0,N(Movimenti!$L60))</f>
        <v>20.61</v>
      </c>
    </row>
    <row r="79">
      <c r="A79" t="n">
        <v>4</v>
      </c>
      <c r="C79">
        <f>IF(C59=1,IF($S59&gt;0,C$51/$S59*$T59-C$50,0),0)</f>
        <v>272.225225</v>
      </c>
      <c r="D79">
        <f>IF(D59=1,IF($S59&gt;0,D$51/$S59*$T59-D$50,0),0)</f>
        <v>35.543275</v>
      </c>
      <c r="E79">
        <f>IF(E59=1,IF($S59&gt;0,E$51/$S59*$T59-E$50,0),0)</f>
        <v>70.1324999999997</v>
      </c>
      <c r="F79">
        <f>IF(F59=1,IF($S59&gt;0,F$51/$S59*$T59-F$50,0),0)</f>
        <v>22.0990000000002</v>
      </c>
      <c r="G79">
        <f>IF(G59=1,IF($S59&gt;0,G$51/$S59*$T59-G$50,0),0)</f>
        <v>0</v>
      </c>
      <c r="H79">
        <f>IF(H59=1,IF($S59&gt;0,H$51/$S59*$T59-H$50,0),0)</f>
        <v>0</v>
      </c>
      <c r="I79">
        <f>IF(I59=1,IF($S59&gt;0,I$51/$S59*$T59-I$50,0),0)</f>
        <v>0</v>
      </c>
      <c r="J79">
        <f>IF(J59=1,IF($S59&gt;0,J$51/$S59*$T59-J$50,0),0)</f>
        <v>0</v>
      </c>
      <c r="K79">
        <f>IF(K59=1,IF($S59&gt;0,K$51/$S59*$T59-K$50,0),0)</f>
        <v>0</v>
      </c>
      <c r="L79">
        <f>IF(L59=1,IF($S59&gt;0,L$51/$S59*$T59-L$50,0),0)</f>
        <v>0</v>
      </c>
      <c r="M79">
        <f>IF(M59=1,IF($S59&gt;0,M$51/$S59*$T59-M$50,0),0)</f>
        <v>0</v>
      </c>
      <c r="N79">
        <f>IF(N59=1,IF($S59&gt;0,N$51/$S59*$T59-N$50,0),0)</f>
        <v>0</v>
      </c>
      <c r="O79">
        <f>IF(O59=1,IF($S59&gt;0,O$51/$S59*$T59-O$50,0),0)</f>
        <v>0</v>
      </c>
      <c r="P79">
        <f>IF(P59=1,IF($S59&gt;0,P$51/$S59*$T59-P$50,0),0)</f>
        <v>0</v>
      </c>
      <c r="Q79">
        <f>IF(Q59=1,IF($S59&gt;0,Q$51/$S59*$T59-Q$50,0),0)</f>
        <v>0</v>
      </c>
      <c r="AD79">
        <f>IF(AND(ISNUMBER(Movimenti!$A61),Movimenti!$L61&lt;&gt;""),Movimenti!$A61,$B$32)</f>
        <v>46198.0</v>
      </c>
      <c r="AE79">
        <f>IF(Movimenti!$L61="",0,N(Movimenti!$L61))</f>
        <v>6.22</v>
      </c>
    </row>
    <row r="80">
      <c r="A80" t="n">
        <v>5</v>
      </c>
      <c r="C80">
        <f>IF(C60=1,IF($S60&gt;0,C$51/$S60*$T60-C$50,0),0)</f>
        <v>272.225225</v>
      </c>
      <c r="D80">
        <f>IF(D60=1,IF($S60&gt;0,D$51/$S60*$T60-D$50,0),0)</f>
        <v>35.543275</v>
      </c>
      <c r="E80">
        <f>IF(E60=1,IF($S60&gt;0,E$51/$S60*$T60-E$50,0),0)</f>
        <v>70.1324999999997</v>
      </c>
      <c r="F80">
        <f>IF(F60=1,IF($S60&gt;0,F$51/$S60*$T60-F$50,0),0)</f>
        <v>22.0990000000002</v>
      </c>
      <c r="G80">
        <f>IF(G60=1,IF($S60&gt;0,G$51/$S60*$T60-G$50,0),0)</f>
        <v>0</v>
      </c>
      <c r="H80">
        <f>IF(H60=1,IF($S60&gt;0,H$51/$S60*$T60-H$50,0),0)</f>
        <v>0</v>
      </c>
      <c r="I80">
        <f>IF(I60=1,IF($S60&gt;0,I$51/$S60*$T60-I$50,0),0)</f>
        <v>0</v>
      </c>
      <c r="J80">
        <f>IF(J60=1,IF($S60&gt;0,J$51/$S60*$T60-J$50,0),0)</f>
        <v>0</v>
      </c>
      <c r="K80">
        <f>IF(K60=1,IF($S60&gt;0,K$51/$S60*$T60-K$50,0),0)</f>
        <v>0</v>
      </c>
      <c r="L80">
        <f>IF(L60=1,IF($S60&gt;0,L$51/$S60*$T60-L$50,0),0)</f>
        <v>0</v>
      </c>
      <c r="M80">
        <f>IF(M60=1,IF($S60&gt;0,M$51/$S60*$T60-M$50,0),0)</f>
        <v>0</v>
      </c>
      <c r="N80">
        <f>IF(N60=1,IF($S60&gt;0,N$51/$S60*$T60-N$50,0),0)</f>
        <v>0</v>
      </c>
      <c r="O80">
        <f>IF(O60=1,IF($S60&gt;0,O$51/$S60*$T60-O$50,0),0)</f>
        <v>0</v>
      </c>
      <c r="P80">
        <f>IF(P60=1,IF($S60&gt;0,P$51/$S60*$T60-P$50,0),0)</f>
        <v>0</v>
      </c>
      <c r="Q80">
        <f>IF(Q60=1,IF($S60&gt;0,Q$51/$S60*$T60-Q$50,0),0)</f>
        <v>0</v>
      </c>
      <c r="AD80">
        <f>IF(AND(ISNUMBER(Movimenti!$A62),Movimenti!$L62&lt;&gt;""),Movimenti!$A62,$B$32)</f>
        <v>46208.0</v>
      </c>
      <c r="AE80">
        <f>IF(Movimenti!$L62="",0,N(Movimenti!$L62))</f>
        <v>-223.48</v>
      </c>
    </row>
    <row r="81">
      <c r="A81" t="n">
        <v>6</v>
      </c>
      <c r="C81">
        <f>IF(C61=1,IF($S61&gt;0,C$51/$S61*$T61-C$50,0),0)</f>
        <v>272.225225</v>
      </c>
      <c r="D81">
        <f>IF(D61=1,IF($S61&gt;0,D$51/$S61*$T61-D$50,0),0)</f>
        <v>35.543275</v>
      </c>
      <c r="E81">
        <f>IF(E61=1,IF($S61&gt;0,E$51/$S61*$T61-E$50,0),0)</f>
        <v>70.1324999999997</v>
      </c>
      <c r="F81">
        <f>IF(F61=1,IF($S61&gt;0,F$51/$S61*$T61-F$50,0),0)</f>
        <v>22.0990000000002</v>
      </c>
      <c r="G81">
        <f>IF(G61=1,IF($S61&gt;0,G$51/$S61*$T61-G$50,0),0)</f>
        <v>0</v>
      </c>
      <c r="H81">
        <f>IF(H61=1,IF($S61&gt;0,H$51/$S61*$T61-H$50,0),0)</f>
        <v>0</v>
      </c>
      <c r="I81">
        <f>IF(I61=1,IF($S61&gt;0,I$51/$S61*$T61-I$50,0),0)</f>
        <v>0</v>
      </c>
      <c r="J81">
        <f>IF(J61=1,IF($S61&gt;0,J$51/$S61*$T61-J$50,0),0)</f>
        <v>0</v>
      </c>
      <c r="K81">
        <f>IF(K61=1,IF($S61&gt;0,K$51/$S61*$T61-K$50,0),0)</f>
        <v>0</v>
      </c>
      <c r="L81">
        <f>IF(L61=1,IF($S61&gt;0,L$51/$S61*$T61-L$50,0),0)</f>
        <v>0</v>
      </c>
      <c r="M81">
        <f>IF(M61=1,IF($S61&gt;0,M$51/$S61*$T61-M$50,0),0)</f>
        <v>0</v>
      </c>
      <c r="N81">
        <f>IF(N61=1,IF($S61&gt;0,N$51/$S61*$T61-N$50,0),0)</f>
        <v>0</v>
      </c>
      <c r="O81">
        <f>IF(O61=1,IF($S61&gt;0,O$51/$S61*$T61-O$50,0),0)</f>
        <v>0</v>
      </c>
      <c r="P81">
        <f>IF(P61=1,IF($S61&gt;0,P$51/$S61*$T61-P$50,0),0)</f>
        <v>0</v>
      </c>
      <c r="Q81">
        <f>IF(Q61=1,IF($S61&gt;0,Q$51/$S61*$T61-Q$50,0),0)</f>
        <v>0</v>
      </c>
      <c r="AD81">
        <f>IF(AND(ISNUMBER(Movimenti!$A63),Movimenti!$L63&lt;&gt;""),Movimenti!$A63,$B$32)</f>
        <v>46208.0</v>
      </c>
      <c r="AE81">
        <f>IF(Movimenti!$L63="",0,N(Movimenti!$L63))</f>
        <v>-46.68</v>
      </c>
    </row>
    <row r="82">
      <c r="A82" t="n">
        <v>7</v>
      </c>
      <c r="C82">
        <f>IF(C62=1,IF($S62&gt;0,C$51/$S62*$T62-C$50,0),0)</f>
        <v>272.225225</v>
      </c>
      <c r="D82">
        <f>IF(D62=1,IF($S62&gt;0,D$51/$S62*$T62-D$50,0),0)</f>
        <v>35.543275</v>
      </c>
      <c r="E82">
        <f>IF(E62=1,IF($S62&gt;0,E$51/$S62*$T62-E$50,0),0)</f>
        <v>70.1324999999997</v>
      </c>
      <c r="F82">
        <f>IF(F62=1,IF($S62&gt;0,F$51/$S62*$T62-F$50,0),0)</f>
        <v>22.0990000000002</v>
      </c>
      <c r="G82">
        <f>IF(G62=1,IF($S62&gt;0,G$51/$S62*$T62-G$50,0),0)</f>
        <v>0</v>
      </c>
      <c r="H82">
        <f>IF(H62=1,IF($S62&gt;0,H$51/$S62*$T62-H$50,0),0)</f>
        <v>0</v>
      </c>
      <c r="I82">
        <f>IF(I62=1,IF($S62&gt;0,I$51/$S62*$T62-I$50,0),0)</f>
        <v>0</v>
      </c>
      <c r="J82">
        <f>IF(J62=1,IF($S62&gt;0,J$51/$S62*$T62-J$50,0),0)</f>
        <v>0</v>
      </c>
      <c r="K82">
        <f>IF(K62=1,IF($S62&gt;0,K$51/$S62*$T62-K$50,0),0)</f>
        <v>0</v>
      </c>
      <c r="L82">
        <f>IF(L62=1,IF($S62&gt;0,L$51/$S62*$T62-L$50,0),0)</f>
        <v>0</v>
      </c>
      <c r="M82">
        <f>IF(M62=1,IF($S62&gt;0,M$51/$S62*$T62-M$50,0),0)</f>
        <v>0</v>
      </c>
      <c r="N82">
        <f>IF(N62=1,IF($S62&gt;0,N$51/$S62*$T62-N$50,0),0)</f>
        <v>0</v>
      </c>
      <c r="O82">
        <f>IF(O62=1,IF($S62&gt;0,O$51/$S62*$T62-O$50,0),0)</f>
        <v>0</v>
      </c>
      <c r="P82">
        <f>IF(P62=1,IF($S62&gt;0,P$51/$S62*$T62-P$50,0),0)</f>
        <v>0</v>
      </c>
      <c r="Q82">
        <f>IF(Q62=1,IF($S62&gt;0,Q$51/$S62*$T62-Q$50,0),0)</f>
        <v>0</v>
      </c>
      <c r="AD82">
        <f>IF(AND(ISNUMBER(Movimenti!$A64),Movimenti!$L64&lt;&gt;""),Movimenti!$A64,$B$32)</f>
        <v>46208.0</v>
      </c>
      <c r="AE82">
        <f>IF(Movimenti!$L64="",0,N(Movimenti!$L64))</f>
        <v>-106.95</v>
      </c>
    </row>
    <row r="83">
      <c r="A83" t="n">
        <v>8</v>
      </c>
      <c r="C83">
        <f>IF(C63=1,IF($S63&gt;0,C$51/$S63*$T63-C$50,0),0)</f>
        <v>272.225225</v>
      </c>
      <c r="D83">
        <f>IF(D63=1,IF($S63&gt;0,D$51/$S63*$T63-D$50,0),0)</f>
        <v>35.543275</v>
      </c>
      <c r="E83">
        <f>IF(E63=1,IF($S63&gt;0,E$51/$S63*$T63-E$50,0),0)</f>
        <v>70.1324999999997</v>
      </c>
      <c r="F83">
        <f>IF(F63=1,IF($S63&gt;0,F$51/$S63*$T63-F$50,0),0)</f>
        <v>22.0990000000002</v>
      </c>
      <c r="G83">
        <f>IF(G63=1,IF($S63&gt;0,G$51/$S63*$T63-G$50,0),0)</f>
        <v>0</v>
      </c>
      <c r="H83">
        <f>IF(H63=1,IF($S63&gt;0,H$51/$S63*$T63-H$50,0),0)</f>
        <v>0</v>
      </c>
      <c r="I83">
        <f>IF(I63=1,IF($S63&gt;0,I$51/$S63*$T63-I$50,0),0)</f>
        <v>0</v>
      </c>
      <c r="J83">
        <f>IF(J63=1,IF($S63&gt;0,J$51/$S63*$T63-J$50,0),0)</f>
        <v>0</v>
      </c>
      <c r="K83">
        <f>IF(K63=1,IF($S63&gt;0,K$51/$S63*$T63-K$50,0),0)</f>
        <v>0</v>
      </c>
      <c r="L83">
        <f>IF(L63=1,IF($S63&gt;0,L$51/$S63*$T63-L$50,0),0)</f>
        <v>0</v>
      </c>
      <c r="M83">
        <f>IF(M63=1,IF($S63&gt;0,M$51/$S63*$T63-M$50,0),0)</f>
        <v>0</v>
      </c>
      <c r="N83">
        <f>IF(N63=1,IF($S63&gt;0,N$51/$S63*$T63-N$50,0),0)</f>
        <v>0</v>
      </c>
      <c r="O83">
        <f>IF(O63=1,IF($S63&gt;0,O$51/$S63*$T63-O$50,0),0)</f>
        <v>0</v>
      </c>
      <c r="P83">
        <f>IF(P63=1,IF($S63&gt;0,P$51/$S63*$T63-P$50,0),0)</f>
        <v>0</v>
      </c>
      <c r="Q83">
        <f>IF(Q63=1,IF($S63&gt;0,Q$51/$S63*$T63-Q$50,0),0)</f>
        <v>0</v>
      </c>
      <c r="AD83">
        <f>IF(AND(ISNUMBER(Movimenti!$A65),Movimenti!$L65&lt;&gt;""),Movimenti!$A65,$B$32)</f>
        <v>46239.0</v>
      </c>
      <c r="AE83">
        <f>IF(Movimenti!$L65="",0,N(Movimenti!$L65))</f>
        <v>-226.24</v>
      </c>
    </row>
    <row r="84">
      <c r="A84" t="n">
        <v>9</v>
      </c>
      <c r="C84">
        <f>IF(C64=1,IF($S64&gt;0,C$51/$S64*$T64-C$50,0),0)</f>
        <v>272.225225</v>
      </c>
      <c r="D84">
        <f>IF(D64=1,IF($S64&gt;0,D$51/$S64*$T64-D$50,0),0)</f>
        <v>35.543275</v>
      </c>
      <c r="E84">
        <f>IF(E64=1,IF($S64&gt;0,E$51/$S64*$T64-E$50,0),0)</f>
        <v>70.1324999999997</v>
      </c>
      <c r="F84">
        <f>IF(F64=1,IF($S64&gt;0,F$51/$S64*$T64-F$50,0),0)</f>
        <v>22.0990000000002</v>
      </c>
      <c r="G84">
        <f>IF(G64=1,IF($S64&gt;0,G$51/$S64*$T64-G$50,0),0)</f>
        <v>0</v>
      </c>
      <c r="H84">
        <f>IF(H64=1,IF($S64&gt;0,H$51/$S64*$T64-H$50,0),0)</f>
        <v>0</v>
      </c>
      <c r="I84">
        <f>IF(I64=1,IF($S64&gt;0,I$51/$S64*$T64-I$50,0),0)</f>
        <v>0</v>
      </c>
      <c r="J84">
        <f>IF(J64=1,IF($S64&gt;0,J$51/$S64*$T64-J$50,0),0)</f>
        <v>0</v>
      </c>
      <c r="K84">
        <f>IF(K64=1,IF($S64&gt;0,K$51/$S64*$T64-K$50,0),0)</f>
        <v>0</v>
      </c>
      <c r="L84">
        <f>IF(L64=1,IF($S64&gt;0,L$51/$S64*$T64-L$50,0),0)</f>
        <v>0</v>
      </c>
      <c r="M84">
        <f>IF(M64=1,IF($S64&gt;0,M$51/$S64*$T64-M$50,0),0)</f>
        <v>0</v>
      </c>
      <c r="N84">
        <f>IF(N64=1,IF($S64&gt;0,N$51/$S64*$T64-N$50,0),0)</f>
        <v>0</v>
      </c>
      <c r="O84">
        <f>IF(O64=1,IF($S64&gt;0,O$51/$S64*$T64-O$50,0),0)</f>
        <v>0</v>
      </c>
      <c r="P84">
        <f>IF(P64=1,IF($S64&gt;0,P$51/$S64*$T64-P$50,0),0)</f>
        <v>0</v>
      </c>
      <c r="Q84">
        <f>IF(Q64=1,IF($S64&gt;0,Q$51/$S64*$T64-Q$50,0),0)</f>
        <v>0</v>
      </c>
      <c r="AD84">
        <f>IF(AND(ISNUMBER(Movimenti!$A66),Movimenti!$L66&lt;&gt;""),Movimenti!$A66,$B$32)</f>
        <v>46239.0</v>
      </c>
      <c r="AE84">
        <f>IF(Movimenti!$L66="",0,N(Movimenti!$L66))</f>
        <v>-45.02</v>
      </c>
    </row>
    <row r="85">
      <c r="A85" t="n">
        <v>10</v>
      </c>
      <c r="C85">
        <f>IF(C65=1,IF($S65&gt;0,C$51/$S65*$T65-C$50,0),0)</f>
        <v>272.225225</v>
      </c>
      <c r="D85">
        <f>IF(D65=1,IF($S65&gt;0,D$51/$S65*$T65-D$50,0),0)</f>
        <v>35.543275</v>
      </c>
      <c r="E85">
        <f>IF(E65=1,IF($S65&gt;0,E$51/$S65*$T65-E$50,0),0)</f>
        <v>70.1324999999997</v>
      </c>
      <c r="F85">
        <f>IF(F65=1,IF($S65&gt;0,F$51/$S65*$T65-F$50,0),0)</f>
        <v>22.0990000000002</v>
      </c>
      <c r="G85">
        <f>IF(G65=1,IF($S65&gt;0,G$51/$S65*$T65-G$50,0),0)</f>
        <v>0</v>
      </c>
      <c r="H85">
        <f>IF(H65=1,IF($S65&gt;0,H$51/$S65*$T65-H$50,0),0)</f>
        <v>0</v>
      </c>
      <c r="I85">
        <f>IF(I65=1,IF($S65&gt;0,I$51/$S65*$T65-I$50,0),0)</f>
        <v>0</v>
      </c>
      <c r="J85">
        <f>IF(J65=1,IF($S65&gt;0,J$51/$S65*$T65-J$50,0),0)</f>
        <v>0</v>
      </c>
      <c r="K85">
        <f>IF(K65=1,IF($S65&gt;0,K$51/$S65*$T65-K$50,0),0)</f>
        <v>0</v>
      </c>
      <c r="L85">
        <f>IF(L65=1,IF($S65&gt;0,L$51/$S65*$T65-L$50,0),0)</f>
        <v>0</v>
      </c>
      <c r="M85">
        <f>IF(M65=1,IF($S65&gt;0,M$51/$S65*$T65-M$50,0),0)</f>
        <v>0</v>
      </c>
      <c r="N85">
        <f>IF(N65=1,IF($S65&gt;0,N$51/$S65*$T65-N$50,0),0)</f>
        <v>0</v>
      </c>
      <c r="O85">
        <f>IF(O65=1,IF($S65&gt;0,O$51/$S65*$T65-O$50,0),0)</f>
        <v>0</v>
      </c>
      <c r="P85">
        <f>IF(P65=1,IF($S65&gt;0,P$51/$S65*$T65-P$50,0),0)</f>
        <v>0</v>
      </c>
      <c r="Q85">
        <f>IF(Q65=1,IF($S65&gt;0,Q$51/$S65*$T65-Q$50,0),0)</f>
        <v>0</v>
      </c>
      <c r="AD85">
        <f>IF(AND(ISNUMBER(Movimenti!$A67),Movimenti!$L67&lt;&gt;""),Movimenti!$A67,$B$32)</f>
        <v>46239.0</v>
      </c>
      <c r="AE85">
        <f>IF(Movimenti!$L67="",0,N(Movimenti!$L67))</f>
        <v>-106.62</v>
      </c>
    </row>
    <row r="86">
      <c r="A86" t="n">
        <v>11</v>
      </c>
      <c r="C86">
        <f>IF(C66=1,IF($S66&gt;0,C$51/$S66*$T66-C$50,0),0)</f>
        <v>272.225225</v>
      </c>
      <c r="D86">
        <f>IF(D66=1,IF($S66&gt;0,D$51/$S66*$T66-D$50,0),0)</f>
        <v>35.543275</v>
      </c>
      <c r="E86">
        <f>IF(E66=1,IF($S66&gt;0,E$51/$S66*$T66-E$50,0),0)</f>
        <v>70.1324999999997</v>
      </c>
      <c r="F86">
        <f>IF(F66=1,IF($S66&gt;0,F$51/$S66*$T66-F$50,0),0)</f>
        <v>22.0990000000002</v>
      </c>
      <c r="G86">
        <f>IF(G66=1,IF($S66&gt;0,G$51/$S66*$T66-G$50,0),0)</f>
        <v>0</v>
      </c>
      <c r="H86">
        <f>IF(H66=1,IF($S66&gt;0,H$51/$S66*$T66-H$50,0),0)</f>
        <v>0</v>
      </c>
      <c r="I86">
        <f>IF(I66=1,IF($S66&gt;0,I$51/$S66*$T66-I$50,0),0)</f>
        <v>0</v>
      </c>
      <c r="J86">
        <f>IF(J66=1,IF($S66&gt;0,J$51/$S66*$T66-J$50,0),0)</f>
        <v>0</v>
      </c>
      <c r="K86">
        <f>IF(K66=1,IF($S66&gt;0,K$51/$S66*$T66-K$50,0),0)</f>
        <v>0</v>
      </c>
      <c r="L86">
        <f>IF(L66=1,IF($S66&gt;0,L$51/$S66*$T66-L$50,0),0)</f>
        <v>0</v>
      </c>
      <c r="M86">
        <f>IF(M66=1,IF($S66&gt;0,M$51/$S66*$T66-M$50,0),0)</f>
        <v>0</v>
      </c>
      <c r="N86">
        <f>IF(N66=1,IF($S66&gt;0,N$51/$S66*$T66-N$50,0),0)</f>
        <v>0</v>
      </c>
      <c r="O86">
        <f>IF(O66=1,IF($S66&gt;0,O$51/$S66*$T66-O$50,0),0)</f>
        <v>0</v>
      </c>
      <c r="P86">
        <f>IF(P66=1,IF($S66&gt;0,P$51/$S66*$T66-P$50,0),0)</f>
        <v>0</v>
      </c>
      <c r="Q86">
        <f>IF(Q66=1,IF($S66&gt;0,Q$51/$S66*$T66-Q$50,0),0)</f>
        <v>0</v>
      </c>
      <c r="AD86">
        <f>IF(AND(ISNUMBER(Movimenti!$A68),Movimenti!$L68&lt;&gt;""),Movimenti!$A68,$B$32)</f>
        <v>46270.0</v>
      </c>
      <c r="AE86">
        <f>IF(Movimenti!$L68="",0,N(Movimenti!$L68))</f>
        <v>-338.05</v>
      </c>
    </row>
    <row r="87">
      <c r="A87" t="n">
        <v>12</v>
      </c>
      <c r="C87">
        <f>IF(C67=1,IF($S67&gt;0,C$51/$S67*$T67-C$50,0),0)</f>
        <v>272.225225</v>
      </c>
      <c r="D87">
        <f>IF(D67=1,IF($S67&gt;0,D$51/$S67*$T67-D$50,0),0)</f>
        <v>35.543275</v>
      </c>
      <c r="E87">
        <f>IF(E67=1,IF($S67&gt;0,E$51/$S67*$T67-E$50,0),0)</f>
        <v>70.1324999999997</v>
      </c>
      <c r="F87">
        <f>IF(F67=1,IF($S67&gt;0,F$51/$S67*$T67-F$50,0),0)</f>
        <v>22.0990000000002</v>
      </c>
      <c r="G87">
        <f>IF(G67=1,IF($S67&gt;0,G$51/$S67*$T67-G$50,0),0)</f>
        <v>0</v>
      </c>
      <c r="H87">
        <f>IF(H67=1,IF($S67&gt;0,H$51/$S67*$T67-H$50,0),0)</f>
        <v>0</v>
      </c>
      <c r="I87">
        <f>IF(I67=1,IF($S67&gt;0,I$51/$S67*$T67-I$50,0),0)</f>
        <v>0</v>
      </c>
      <c r="J87">
        <f>IF(J67=1,IF($S67&gt;0,J$51/$S67*$T67-J$50,0),0)</f>
        <v>0</v>
      </c>
      <c r="K87">
        <f>IF(K67=1,IF($S67&gt;0,K$51/$S67*$T67-K$50,0),0)</f>
        <v>0</v>
      </c>
      <c r="L87">
        <f>IF(L67=1,IF($S67&gt;0,L$51/$S67*$T67-L$50,0),0)</f>
        <v>0</v>
      </c>
      <c r="M87">
        <f>IF(M67=1,IF($S67&gt;0,M$51/$S67*$T67-M$50,0),0)</f>
        <v>0</v>
      </c>
      <c r="N87">
        <f>IF(N67=1,IF($S67&gt;0,N$51/$S67*$T67-N$50,0),0)</f>
        <v>0</v>
      </c>
      <c r="O87">
        <f>IF(O67=1,IF($S67&gt;0,O$51/$S67*$T67-O$50,0),0)</f>
        <v>0</v>
      </c>
      <c r="P87">
        <f>IF(P67=1,IF($S67&gt;0,P$51/$S67*$T67-P$50,0),0)</f>
        <v>0</v>
      </c>
      <c r="Q87">
        <f>IF(Q67=1,IF($S67&gt;0,Q$51/$S67*$T67-Q$50,0),0)</f>
        <v>0</v>
      </c>
      <c r="AD87">
        <f>IF(AND(ISNUMBER(Movimenti!$A69),Movimenti!$L69&lt;&gt;""),Movimenti!$A69,$B$32)</f>
        <v>46280.0</v>
      </c>
      <c r="AE87">
        <f>IF(Movimenti!$L69="",0,N(Movimenti!$L69))</f>
        <v>646.79</v>
      </c>
    </row>
    <row r="88">
      <c r="A88" t="n">
        <v>13</v>
      </c>
      <c r="C88">
        <f>IF(C68=1,IF($S68&gt;0,C$51/$S68*$T68-C$50,0),0)</f>
        <v>272.225225</v>
      </c>
      <c r="D88">
        <f>IF(D68=1,IF($S68&gt;0,D$51/$S68*$T68-D$50,0),0)</f>
        <v>35.543275</v>
      </c>
      <c r="E88">
        <f>IF(E68=1,IF($S68&gt;0,E$51/$S68*$T68-E$50,0),0)</f>
        <v>70.1324999999997</v>
      </c>
      <c r="F88">
        <f>IF(F68=1,IF($S68&gt;0,F$51/$S68*$T68-F$50,0),0)</f>
        <v>22.0990000000002</v>
      </c>
      <c r="G88">
        <f>IF(G68=1,IF($S68&gt;0,G$51/$S68*$T68-G$50,0),0)</f>
        <v>0</v>
      </c>
      <c r="H88">
        <f>IF(H68=1,IF($S68&gt;0,H$51/$S68*$T68-H$50,0),0)</f>
        <v>0</v>
      </c>
      <c r="I88">
        <f>IF(I68=1,IF($S68&gt;0,I$51/$S68*$T68-I$50,0),0)</f>
        <v>0</v>
      </c>
      <c r="J88">
        <f>IF(J68=1,IF($S68&gt;0,J$51/$S68*$T68-J$50,0),0)</f>
        <v>0</v>
      </c>
      <c r="K88">
        <f>IF(K68=1,IF($S68&gt;0,K$51/$S68*$T68-K$50,0),0)</f>
        <v>0</v>
      </c>
      <c r="L88">
        <f>IF(L68=1,IF($S68&gt;0,L$51/$S68*$T68-L$50,0),0)</f>
        <v>0</v>
      </c>
      <c r="M88">
        <f>IF(M68=1,IF($S68&gt;0,M$51/$S68*$T68-M$50,0),0)</f>
        <v>0</v>
      </c>
      <c r="N88">
        <f>IF(N68=1,IF($S68&gt;0,N$51/$S68*$T68-N$50,0),0)</f>
        <v>0</v>
      </c>
      <c r="O88">
        <f>IF(O68=1,IF($S68&gt;0,O$51/$S68*$T68-O$50,0),0)</f>
        <v>0</v>
      </c>
      <c r="P88">
        <f>IF(P68=1,IF($S68&gt;0,P$51/$S68*$T68-P$50,0),0)</f>
        <v>0</v>
      </c>
      <c r="Q88">
        <f>IF(Q68=1,IF($S68&gt;0,Q$51/$S68*$T68-Q$50,0),0)</f>
        <v>0</v>
      </c>
      <c r="AD88">
        <f>IF(AND(ISNUMBER(Movimenti!$A70),Movimenti!$L70&lt;&gt;""),Movimenti!$A70,$B$32)</f>
        <v>46290.0</v>
      </c>
      <c r="AE88">
        <f>IF(Movimenti!$L70="",0,N(Movimenti!$L70))</f>
        <v>6.57</v>
      </c>
    </row>
    <row r="89">
      <c r="A89" t="n">
        <v>14</v>
      </c>
      <c r="C89">
        <f>IF(C69=1,IF($S69&gt;0,C$51/$S69*$T69-C$50,0),0)</f>
        <v>272.225225</v>
      </c>
      <c r="D89">
        <f>IF(D69=1,IF($S69&gt;0,D$51/$S69*$T69-D$50,0),0)</f>
        <v>35.543275</v>
      </c>
      <c r="E89">
        <f>IF(E69=1,IF($S69&gt;0,E$51/$S69*$T69-E$50,0),0)</f>
        <v>70.1324999999997</v>
      </c>
      <c r="F89">
        <f>IF(F69=1,IF($S69&gt;0,F$51/$S69*$T69-F$50,0),0)</f>
        <v>22.0990000000002</v>
      </c>
      <c r="G89">
        <f>IF(G69=1,IF($S69&gt;0,G$51/$S69*$T69-G$50,0),0)</f>
        <v>0</v>
      </c>
      <c r="H89">
        <f>IF(H69=1,IF($S69&gt;0,H$51/$S69*$T69-H$50,0),0)</f>
        <v>0</v>
      </c>
      <c r="I89">
        <f>IF(I69=1,IF($S69&gt;0,I$51/$S69*$T69-I$50,0),0)</f>
        <v>0</v>
      </c>
      <c r="J89">
        <f>IF(J69=1,IF($S69&gt;0,J$51/$S69*$T69-J$50,0),0)</f>
        <v>0</v>
      </c>
      <c r="K89">
        <f>IF(K69=1,IF($S69&gt;0,K$51/$S69*$T69-K$50,0),0)</f>
        <v>0</v>
      </c>
      <c r="L89">
        <f>IF(L69=1,IF($S69&gt;0,L$51/$S69*$T69-L$50,0),0)</f>
        <v>0</v>
      </c>
      <c r="M89">
        <f>IF(M69=1,IF($S69&gt;0,M$51/$S69*$T69-M$50,0),0)</f>
        <v>0</v>
      </c>
      <c r="N89">
        <f>IF(N69=1,IF($S69&gt;0,N$51/$S69*$T69-N$50,0),0)</f>
        <v>0</v>
      </c>
      <c r="O89">
        <f>IF(O69=1,IF($S69&gt;0,O$51/$S69*$T69-O$50,0),0)</f>
        <v>0</v>
      </c>
      <c r="P89">
        <f>IF(P69=1,IF($S69&gt;0,P$51/$S69*$T69-P$50,0),0)</f>
        <v>0</v>
      </c>
      <c r="Q89">
        <f>IF(Q69=1,IF($S69&gt;0,Q$51/$S69*$T69-Q$50,0),0)</f>
        <v>0</v>
      </c>
      <c r="AD89">
        <f>IF(AND(ISNUMBER(Movimenti!$A71),Movimenti!$L71&lt;&gt;""),Movimenti!$A71,$B$32)</f>
        <v>46300.0</v>
      </c>
      <c r="AE89">
        <f>IF(Movimenti!$L71="",0,N(Movimenti!$L71))</f>
        <v>-227.08</v>
      </c>
    </row>
    <row r="90">
      <c r="A90" t="n">
        <v>15</v>
      </c>
      <c r="C90">
        <f>IF(C70=1,IF($S70&gt;0,C$51/$S70*$T70-C$50,0),0)</f>
        <v>272.225225</v>
      </c>
      <c r="D90">
        <f>IF(D70=1,IF($S70&gt;0,D$51/$S70*$T70-D$50,0),0)</f>
        <v>35.543275</v>
      </c>
      <c r="E90">
        <f>IF(E70=1,IF($S70&gt;0,E$51/$S70*$T70-E$50,0),0)</f>
        <v>70.1324999999997</v>
      </c>
      <c r="F90">
        <f>IF(F70=1,IF($S70&gt;0,F$51/$S70*$T70-F$50,0),0)</f>
        <v>22.0990000000002</v>
      </c>
      <c r="G90">
        <f>IF(G70=1,IF($S70&gt;0,G$51/$S70*$T70-G$50,0),0)</f>
        <v>0</v>
      </c>
      <c r="H90">
        <f>IF(H70=1,IF($S70&gt;0,H$51/$S70*$T70-H$50,0),0)</f>
        <v>0</v>
      </c>
      <c r="I90">
        <f>IF(I70=1,IF($S70&gt;0,I$51/$S70*$T70-I$50,0),0)</f>
        <v>0</v>
      </c>
      <c r="J90">
        <f>IF(J70=1,IF($S70&gt;0,J$51/$S70*$T70-J$50,0),0)</f>
        <v>0</v>
      </c>
      <c r="K90">
        <f>IF(K70=1,IF($S70&gt;0,K$51/$S70*$T70-K$50,0),0)</f>
        <v>0</v>
      </c>
      <c r="L90">
        <f>IF(L70=1,IF($S70&gt;0,L$51/$S70*$T70-L$50,0),0)</f>
        <v>0</v>
      </c>
      <c r="M90">
        <f>IF(M70=1,IF($S70&gt;0,M$51/$S70*$T70-M$50,0),0)</f>
        <v>0</v>
      </c>
      <c r="N90">
        <f>IF(N70=1,IF($S70&gt;0,N$51/$S70*$T70-N$50,0),0)</f>
        <v>0</v>
      </c>
      <c r="O90">
        <f>IF(O70=1,IF($S70&gt;0,O$51/$S70*$T70-O$50,0),0)</f>
        <v>0</v>
      </c>
      <c r="P90">
        <f>IF(P70=1,IF($S70&gt;0,P$51/$S70*$T70-P$50,0),0)</f>
        <v>0</v>
      </c>
      <c r="Q90">
        <f>IF(Q70=1,IF($S70&gt;0,Q$51/$S70*$T70-Q$50,0),0)</f>
        <v>0</v>
      </c>
      <c r="AD90">
        <f>IF(AND(ISNUMBER(Movimenti!$A72),Movimenti!$L72&lt;&gt;""),Movimenti!$A72,$B$32)</f>
        <v>46300.0</v>
      </c>
      <c r="AE90">
        <f>IF(Movimenti!$L72="",0,N(Movimenti!$L72))</f>
        <v>-44.9</v>
      </c>
    </row>
    <row r="91">
      <c r="AD91">
        <f>IF(AND(ISNUMBER(Movimenti!$A73),Movimenti!$L73&lt;&gt;""),Movimenti!$A73,$B$32)</f>
        <v>46300.0</v>
      </c>
      <c r="AE91">
        <f>IF(Movimenti!$L73="",0,N(Movimenti!$L73))</f>
        <v>-105.84</v>
      </c>
    </row>
    <row r="92">
      <c r="A92" t="inlineStr">
        <is>
          <t>Da comprare (€)</t>
        </is>
      </c>
      <c r="C92">
        <f>MAX(0,C90)</f>
        <v>272.225225</v>
      </c>
      <c r="D92">
        <f>MAX(0,D90)</f>
        <v>35.543275</v>
      </c>
      <c r="E92">
        <f>MAX(0,E90)</f>
        <v>70.1324999999997</v>
      </c>
      <c r="F92">
        <f>MAX(0,F90)</f>
        <v>22.0990000000002</v>
      </c>
      <c r="G92">
        <f>MAX(0,G90)</f>
        <v>0</v>
      </c>
      <c r="H92">
        <f>MAX(0,H90)</f>
        <v>0</v>
      </c>
      <c r="I92">
        <f>MAX(0,I90)</f>
        <v>0</v>
      </c>
      <c r="J92">
        <f>MAX(0,J90)</f>
        <v>0</v>
      </c>
      <c r="K92">
        <f>MAX(0,K90)</f>
        <v>0</v>
      </c>
      <c r="L92">
        <f>MAX(0,L90)</f>
        <v>0</v>
      </c>
      <c r="M92">
        <f>MAX(0,M90)</f>
        <v>0</v>
      </c>
      <c r="N92">
        <f>MAX(0,N90)</f>
        <v>0</v>
      </c>
      <c r="O92">
        <f>MAX(0,O90)</f>
        <v>0</v>
      </c>
      <c r="P92">
        <f>MAX(0,P90)</f>
        <v>0</v>
      </c>
      <c r="Q92">
        <f>MAX(0,Q90)</f>
        <v>0</v>
      </c>
      <c r="AD92">
        <f>IF(AND(ISNUMBER(Movimenti!$A74),Movimenti!$L74&lt;&gt;""),Movimenti!$A74,$B$32)</f>
        <v>45596.0</v>
      </c>
      <c r="AE92">
        <f>IF(Movimenti!$L74="",0,N(Movimenti!$L74))</f>
        <v>0</v>
      </c>
    </row>
    <row r="93">
      <c r="A93" t="inlineStr">
        <is>
          <t>Quote (arrotondate per difetto)</t>
        </is>
      </c>
      <c r="C93">
        <f>IF(C$52&gt;0,IF(Ribilanciamento!$G$8="Sì",ROUNDDOWN(C92/C$52+0.000000001,0),C92/C$52),0)</f>
        <v>2</v>
      </c>
      <c r="D93">
        <f>IF(D$52&gt;0,IF(Ribilanciamento!$G$8="Sì",ROUNDDOWN(D92/D$52+0.000000001,0),D92/D$52),0)</f>
        <v>0</v>
      </c>
      <c r="E93">
        <f>IF(E$52&gt;0,IF(Ribilanciamento!$G$8="Sì",ROUNDDOWN(E92/E$52+0.000000001,0),E92/E$52),0)</f>
        <v>0</v>
      </c>
      <c r="F93">
        <f>IF(F$52&gt;0,IF(Ribilanciamento!$G$8="Sì",ROUNDDOWN(F92/F$52+0.000000001,0),F92/F$52),0)</f>
        <v>0</v>
      </c>
      <c r="G93">
        <f>IF(G$52&gt;0,IF(Ribilanciamento!$G$8="Sì",ROUNDDOWN(G92/G$52+0.000000001,0),G92/G$52),0)</f>
        <v>0</v>
      </c>
      <c r="H93">
        <f>IF(H$52&gt;0,IF(Ribilanciamento!$G$8="Sì",ROUNDDOWN(H92/H$52+0.000000001,0),H92/H$52),0)</f>
        <v>0</v>
      </c>
      <c r="I93">
        <f>IF(I$52&gt;0,IF(Ribilanciamento!$G$8="Sì",ROUNDDOWN(I92/I$52+0.000000001,0),I92/I$52),0)</f>
        <v>0</v>
      </c>
      <c r="J93">
        <f>IF(J$52&gt;0,IF(Ribilanciamento!$G$8="Sì",ROUNDDOWN(J92/J$52+0.000000001,0),J92/J$52),0)</f>
        <v>0</v>
      </c>
      <c r="K93">
        <f>IF(K$52&gt;0,IF(Ribilanciamento!$G$8="Sì",ROUNDDOWN(K92/K$52+0.000000001,0),K92/K$52),0)</f>
        <v>0</v>
      </c>
      <c r="L93">
        <f>IF(L$52&gt;0,IF(Ribilanciamento!$G$8="Sì",ROUNDDOWN(L92/L$52+0.000000001,0),L92/L$52),0)</f>
        <v>0</v>
      </c>
      <c r="M93">
        <f>IF(M$52&gt;0,IF(Ribilanciamento!$G$8="Sì",ROUNDDOWN(M92/M$52+0.000000001,0),M92/M$52),0)</f>
        <v>0</v>
      </c>
      <c r="N93">
        <f>IF(N$52&gt;0,IF(Ribilanciamento!$G$8="Sì",ROUNDDOWN(N92/N$52+0.000000001,0),N92/N$52),0)</f>
        <v>0</v>
      </c>
      <c r="O93">
        <f>IF(O$52&gt;0,IF(Ribilanciamento!$G$8="Sì",ROUNDDOWN(O92/O$52+0.000000001,0),O92/O$52),0)</f>
        <v>0</v>
      </c>
      <c r="P93">
        <f>IF(P$52&gt;0,IF(Ribilanciamento!$G$8="Sì",ROUNDDOWN(P92/P$52+0.000000001,0),P92/P$52),0)</f>
        <v>0</v>
      </c>
      <c r="Q93">
        <f>IF(Q$52&gt;0,IF(Ribilanciamento!$G$8="Sì",ROUNDDOWN(Q92/Q$52+0.000000001,0),Q92/Q$52),0)</f>
        <v>0</v>
      </c>
      <c r="AD93">
        <f>IF(AND(ISNUMBER(Movimenti!$A75),Movimenti!$L75&lt;&gt;""),Movimenti!$A75,$B$32)</f>
        <v>45596.0</v>
      </c>
      <c r="AE93">
        <f>IF(Movimenti!$L75="",0,N(Movimenti!$L75))</f>
        <v>0</v>
      </c>
    </row>
    <row r="94">
      <c r="A94" t="inlineStr">
        <is>
          <t>Spesa</t>
        </is>
      </c>
      <c r="C94">
        <f>C93*C$52</f>
        <v>226.08</v>
      </c>
      <c r="D94">
        <f>D93*D$52</f>
        <v>0</v>
      </c>
      <c r="E94">
        <f>E93*E$52</f>
        <v>0</v>
      </c>
      <c r="F94">
        <f>F93*F$52</f>
        <v>0</v>
      </c>
      <c r="G94">
        <f>G93*G$52</f>
        <v>0</v>
      </c>
      <c r="H94">
        <f>H93*H$52</f>
        <v>0</v>
      </c>
      <c r="I94">
        <f>I93*I$52</f>
        <v>0</v>
      </c>
      <c r="J94">
        <f>J93*J$52</f>
        <v>0</v>
      </c>
      <c r="K94">
        <f>K93*K$52</f>
        <v>0</v>
      </c>
      <c r="L94">
        <f>L93*L$52</f>
        <v>0</v>
      </c>
      <c r="M94">
        <f>M93*M$52</f>
        <v>0</v>
      </c>
      <c r="N94">
        <f>N93*N$52</f>
        <v>0</v>
      </c>
      <c r="O94">
        <f>O93*O$52</f>
        <v>0</v>
      </c>
      <c r="P94">
        <f>P93*P$52</f>
        <v>0</v>
      </c>
      <c r="Q94">
        <f>Q93*Q$52</f>
        <v>0</v>
      </c>
      <c r="AD94">
        <f>IF(AND(ISNUMBER(Movimenti!$A76),Movimenti!$L76&lt;&gt;""),Movimenti!$A76,$B$32)</f>
        <v>45596.0</v>
      </c>
      <c r="AE94">
        <f>IF(Movimenti!$L76="",0,N(Movimenti!$L76))</f>
        <v>0</v>
      </c>
    </row>
    <row r="95">
      <c r="A95" t="inlineStr">
        <is>
          <t>Manca</t>
        </is>
      </c>
      <c r="C95">
        <f>C92-C94</f>
        <v>46.1452250000001</v>
      </c>
      <c r="D95">
        <f>D92-D94</f>
        <v>35.543275</v>
      </c>
      <c r="E95">
        <f>E92-E94</f>
        <v>70.1324999999997</v>
      </c>
      <c r="F95">
        <f>F92-F94</f>
        <v>22.0990000000002</v>
      </c>
      <c r="G95">
        <f>G92-G94</f>
        <v>0</v>
      </c>
      <c r="H95">
        <f>H92-H94</f>
        <v>0</v>
      </c>
      <c r="I95">
        <f>I92-I94</f>
        <v>0</v>
      </c>
      <c r="J95">
        <f>J92-J94</f>
        <v>0</v>
      </c>
      <c r="K95">
        <f>K92-K94</f>
        <v>0</v>
      </c>
      <c r="L95">
        <f>L92-L94</f>
        <v>0</v>
      </c>
      <c r="M95">
        <f>M92-M94</f>
        <v>0</v>
      </c>
      <c r="N95">
        <f>N92-N94</f>
        <v>0</v>
      </c>
      <c r="O95">
        <f>O92-O94</f>
        <v>0</v>
      </c>
      <c r="P95">
        <f>P92-P94</f>
        <v>0</v>
      </c>
      <c r="Q95">
        <f>Q92-Q94</f>
        <v>0</v>
      </c>
      <c r="AD95">
        <f>IF(AND(ISNUMBER(Movimenti!$A77),Movimenti!$L77&lt;&gt;""),Movimenti!$A77,$B$32)</f>
        <v>45596.0</v>
      </c>
      <c r="AE95">
        <f>IF(Movimenti!$L77="",0,N(Movimenti!$L77))</f>
        <v>0</v>
      </c>
    </row>
    <row r="96">
      <c r="A96" t="inlineStr">
        <is>
          <t>Ordine per la quota in più</t>
        </is>
      </c>
      <c r="C96">
        <f>IF(C97&lt;0,99,SUMPRODUCT(($C$97:$Q$97&gt;C97)*1)+1)</f>
        <v>2</v>
      </c>
      <c r="D96">
        <f>IF(D97&lt;0,99,SUMPRODUCT(($C$97:$Q$97&gt;D97)*1)+1)</f>
        <v>3</v>
      </c>
      <c r="E96">
        <f>IF(E97&lt;0,99,SUMPRODUCT(($C$97:$Q$97&gt;E97)*1)+1)</f>
        <v>1</v>
      </c>
      <c r="F96">
        <f>IF(F97&lt;0,99,SUMPRODUCT(($C$97:$Q$97&gt;F97)*1)+1)</f>
        <v>4</v>
      </c>
      <c r="G96">
        <f>IF(G97&lt;0,99,SUMPRODUCT(($C$97:$Q$97&gt;G97)*1)+1)</f>
        <v>99</v>
      </c>
      <c r="H96">
        <f>IF(H97&lt;0,99,SUMPRODUCT(($C$97:$Q$97&gt;H97)*1)+1)</f>
        <v>99</v>
      </c>
      <c r="I96">
        <f>IF(I97&lt;0,99,SUMPRODUCT(($C$97:$Q$97&gt;I97)*1)+1)</f>
        <v>99</v>
      </c>
      <c r="J96">
        <f>IF(J97&lt;0,99,SUMPRODUCT(($C$97:$Q$97&gt;J97)*1)+1)</f>
        <v>99</v>
      </c>
      <c r="K96">
        <f>IF(K97&lt;0,99,SUMPRODUCT(($C$97:$Q$97&gt;K97)*1)+1)</f>
        <v>99</v>
      </c>
      <c r="L96">
        <f>IF(L97&lt;0,99,SUMPRODUCT(($C$97:$Q$97&gt;L97)*1)+1)</f>
        <v>99</v>
      </c>
      <c r="M96">
        <f>IF(M97&lt;0,99,SUMPRODUCT(($C$97:$Q$97&gt;M97)*1)+1)</f>
        <v>99</v>
      </c>
      <c r="N96">
        <f>IF(N97&lt;0,99,SUMPRODUCT(($C$97:$Q$97&gt;N97)*1)+1)</f>
        <v>99</v>
      </c>
      <c r="O96">
        <f>IF(O97&lt;0,99,SUMPRODUCT(($C$97:$Q$97&gt;O97)*1)+1)</f>
        <v>99</v>
      </c>
      <c r="P96">
        <f>IF(P97&lt;0,99,SUMPRODUCT(($C$97:$Q$97&gt;P97)*1)+1)</f>
        <v>99</v>
      </c>
      <c r="Q96">
        <f>IF(Q97&lt;0,99,SUMPRODUCT(($C$97:$Q$97&gt;Q97)*1)+1)</f>
        <v>99</v>
      </c>
      <c r="AD96">
        <f>IF(AND(ISNUMBER(Movimenti!$A78),Movimenti!$L78&lt;&gt;""),Movimenti!$A78,$B$32)</f>
        <v>45596.0</v>
      </c>
      <c r="AE96">
        <f>IF(Movimenti!$L78="",0,N(Movimenti!$L78))</f>
        <v>0</v>
      </c>
    </row>
    <row r="97">
      <c r="A97" t="inlineStr">
        <is>
          <t>Chiave</t>
        </is>
      </c>
      <c r="C97">
        <f>IF(AND(Ribilanciamento!$G$8="Sì",C95&gt;0.000001,C$52&gt;0),C95+15*0.000000001,-1)</f>
        <v>46.1452250150001</v>
      </c>
      <c r="D97">
        <f>IF(AND(Ribilanciamento!$G$8="Sì",D95&gt;0.000001,D$52&gt;0),D95+14*0.000000001,-1)</f>
        <v>35.543275014</v>
      </c>
      <c r="E97">
        <f>IF(AND(Ribilanciamento!$G$8="Sì",E95&gt;0.000001,E$52&gt;0),E95+13*0.000000001,-1)</f>
        <v>70.1325000129997</v>
      </c>
      <c r="F97">
        <f>IF(AND(Ribilanciamento!$G$8="Sì",F95&gt;0.000001,F$52&gt;0),F95+12*0.000000001,-1)</f>
        <v>22.0990000120002</v>
      </c>
      <c r="G97">
        <f>IF(AND(Ribilanciamento!$G$8="Sì",G95&gt;0.000001,G$52&gt;0),G95+11*0.000000001,-1)</f>
        <v>-1</v>
      </c>
      <c r="H97">
        <f>IF(AND(Ribilanciamento!$G$8="Sì",H95&gt;0.000001,H$52&gt;0),H95+10*0.000000001,-1)</f>
        <v>-1</v>
      </c>
      <c r="I97">
        <f>IF(AND(Ribilanciamento!$G$8="Sì",I95&gt;0.000001,I$52&gt;0),I95+9*0.000000001,-1)</f>
        <v>-1</v>
      </c>
      <c r="J97">
        <f>IF(AND(Ribilanciamento!$G$8="Sì",J95&gt;0.000001,J$52&gt;0),J95+8*0.000000001,-1)</f>
        <v>-1</v>
      </c>
      <c r="K97">
        <f>IF(AND(Ribilanciamento!$G$8="Sì",K95&gt;0.000001,K$52&gt;0),K95+7*0.000000001,-1)</f>
        <v>-1</v>
      </c>
      <c r="L97">
        <f>IF(AND(Ribilanciamento!$G$8="Sì",L95&gt;0.000001,L$52&gt;0),L95+6*0.000000001,-1)</f>
        <v>-1</v>
      </c>
      <c r="M97">
        <f>IF(AND(Ribilanciamento!$G$8="Sì",M95&gt;0.000001,M$52&gt;0),M95+5*0.000000001,-1)</f>
        <v>-1</v>
      </c>
      <c r="N97">
        <f>IF(AND(Ribilanciamento!$G$8="Sì",N95&gt;0.000001,N$52&gt;0),N95+4*0.000000001,-1)</f>
        <v>-1</v>
      </c>
      <c r="O97">
        <f>IF(AND(Ribilanciamento!$G$8="Sì",O95&gt;0.000001,O$52&gt;0),O95+3*0.000000001,-1)</f>
        <v>-1</v>
      </c>
      <c r="P97">
        <f>IF(AND(Ribilanciamento!$G$8="Sì",P95&gt;0.000001,P$52&gt;0),P95+2*0.000000001,-1)</f>
        <v>-1</v>
      </c>
      <c r="Q97">
        <f>IF(AND(Ribilanciamento!$G$8="Sì",Q95&gt;0.000001,Q$52&gt;0),Q95+1*0.000000001,-1)</f>
        <v>-1</v>
      </c>
      <c r="AD97">
        <f>IF(AND(ISNUMBER(Movimenti!$A79),Movimenti!$L79&lt;&gt;""),Movimenti!$A79,$B$32)</f>
        <v>45596.0</v>
      </c>
      <c r="AE97">
        <f>IF(Movimenti!$L79="",0,N(Movimenti!$L79))</f>
        <v>0</v>
      </c>
    </row>
    <row r="98">
      <c r="A98" t="inlineStr">
        <is>
          <t>Quota in più</t>
        </is>
      </c>
      <c r="C98">
        <f>IF(C96=99,0,INDEX($D$100:$D$114,C96))</f>
        <v>0</v>
      </c>
      <c r="D98">
        <f>IF(D96=99,0,INDEX($D$100:$D$114,D96))</f>
        <v>1</v>
      </c>
      <c r="E98">
        <f>IF(E96=99,0,INDEX($D$100:$D$114,E96))</f>
        <v>1</v>
      </c>
      <c r="F98">
        <f>IF(F96=99,0,INDEX($D$100:$D$114,F96))</f>
        <v>0</v>
      </c>
      <c r="G98">
        <f>IF(G96=99,0,INDEX($D$100:$D$114,G96))</f>
        <v>0</v>
      </c>
      <c r="H98">
        <f>IF(H96=99,0,INDEX($D$100:$D$114,H96))</f>
        <v>0</v>
      </c>
      <c r="I98">
        <f>IF(I96=99,0,INDEX($D$100:$D$114,I96))</f>
        <v>0</v>
      </c>
      <c r="J98">
        <f>IF(J96=99,0,INDEX($D$100:$D$114,J96))</f>
        <v>0</v>
      </c>
      <c r="K98">
        <f>IF(K96=99,0,INDEX($D$100:$D$114,K96))</f>
        <v>0</v>
      </c>
      <c r="L98">
        <f>IF(L96=99,0,INDEX($D$100:$D$114,L96))</f>
        <v>0</v>
      </c>
      <c r="M98">
        <f>IF(M96=99,0,INDEX($D$100:$D$114,M96))</f>
        <v>0</v>
      </c>
      <c r="N98">
        <f>IF(N96=99,0,INDEX($D$100:$D$114,N96))</f>
        <v>0</v>
      </c>
      <c r="O98">
        <f>IF(O96=99,0,INDEX($D$100:$D$114,O96))</f>
        <v>0</v>
      </c>
      <c r="P98">
        <f>IF(P96=99,0,INDEX($D$100:$D$114,P96))</f>
        <v>0</v>
      </c>
      <c r="Q98">
        <f>IF(Q96=99,0,INDEX($D$100:$D$114,Q96))</f>
        <v>0</v>
      </c>
      <c r="AD98">
        <f>IF(AND(ISNUMBER(Movimenti!$A80),Movimenti!$L80&lt;&gt;""),Movimenti!$A80,$B$32)</f>
        <v>45596.0</v>
      </c>
      <c r="AE98">
        <f>IF(Movimenti!$L80="",0,N(Movimenti!$L80))</f>
        <v>0</v>
      </c>
    </row>
    <row r="99">
      <c r="A99" t="inlineStr">
        <is>
          <t>Passo</t>
        </is>
      </c>
      <c r="B99" t="inlineStr">
        <is>
          <t>ETF</t>
        </is>
      </c>
      <c r="C99" t="inlineStr">
        <is>
          <t>Prezzo</t>
        </is>
      </c>
      <c r="D99" t="inlineStr">
        <is>
          <t>Quota in più</t>
        </is>
      </c>
      <c r="E99">
        <f>$B$48-SUM($C$94:$Q$94)</f>
        <v>173.92</v>
      </c>
      <c r="AD99">
        <f>IF(AND(ISNUMBER(Movimenti!$A81),Movimenti!$L81&lt;&gt;""),Movimenti!$A81,$B$32)</f>
        <v>45596.0</v>
      </c>
      <c r="AE99">
        <f>IF(Movimenti!$L81="",0,N(Movimenti!$L81))</f>
        <v>0</v>
      </c>
    </row>
    <row r="100">
      <c r="A100" t="n">
        <v>1</v>
      </c>
      <c r="B100">
        <f>IFERROR(MATCH(A100,$C$96:$Q$96,0),"")</f>
        <v>3</v>
      </c>
      <c r="C100">
        <f>IF(B100="",0,INDEX($C$52:$Q$52,B100))</f>
        <v>104.84</v>
      </c>
      <c r="D100">
        <f>IF(OR(B100="",C100&lt;=0),0,IF(C100&lt;=E99+0.000001,1,0))</f>
        <v>1</v>
      </c>
      <c r="E100">
        <f>E99-D100*C100</f>
        <v>69.08</v>
      </c>
      <c r="AD100">
        <f>IF(AND(ISNUMBER(Movimenti!$A82),Movimenti!$L82&lt;&gt;""),Movimenti!$A82,$B$32)</f>
        <v>45596.0</v>
      </c>
      <c r="AE100">
        <f>IF(Movimenti!$L82="",0,N(Movimenti!$L82))</f>
        <v>0</v>
      </c>
    </row>
    <row r="101">
      <c r="A101" t="n">
        <v>2</v>
      </c>
      <c r="B101">
        <f>IFERROR(MATCH(A101,$C$96:$Q$96,0),"")</f>
        <v>1</v>
      </c>
      <c r="C101">
        <f>IF(B101="",0,INDEX($C$52:$Q$52,B101))</f>
        <v>113.04</v>
      </c>
      <c r="D101">
        <f>IF(OR(B101="",C101&lt;=0),0,IF(C101&lt;=E100+0.000001,1,0))</f>
        <v>0</v>
      </c>
      <c r="E101">
        <f>E100-D101*C101</f>
        <v>69.08</v>
      </c>
      <c r="AD101">
        <f>IF(AND(ISNUMBER(Movimenti!$A83),Movimenti!$L83&lt;&gt;""),Movimenti!$A83,$B$32)</f>
        <v>45596.0</v>
      </c>
      <c r="AE101">
        <f>IF(Movimenti!$L83="",0,N(Movimenti!$L83))</f>
        <v>0</v>
      </c>
    </row>
    <row r="102">
      <c r="A102" t="n">
        <v>3</v>
      </c>
      <c r="B102">
        <f>IFERROR(MATCH(A102,$C$96:$Q$96,0),"")</f>
        <v>2</v>
      </c>
      <c r="C102">
        <f>IF(B102="",0,INDEX($C$52:$Q$52,B102))</f>
        <v>43.9</v>
      </c>
      <c r="D102">
        <f>IF(OR(B102="",C102&lt;=0),0,IF(C102&lt;=E101+0.000001,1,0))</f>
        <v>1</v>
      </c>
      <c r="E102">
        <f>E101-D102*C102</f>
        <v>25.18</v>
      </c>
      <c r="AD102">
        <f>IF(AND(ISNUMBER(Movimenti!$A84),Movimenti!$L84&lt;&gt;""),Movimenti!$A84,$B$32)</f>
        <v>45596.0</v>
      </c>
      <c r="AE102">
        <f>IF(Movimenti!$L84="",0,N(Movimenti!$L84))</f>
        <v>0</v>
      </c>
    </row>
    <row r="103">
      <c r="A103" t="n">
        <v>4</v>
      </c>
      <c r="B103">
        <f>IFERROR(MATCH(A103,$C$96:$Q$96,0),"")</f>
        <v>4</v>
      </c>
      <c r="C103">
        <f>IF(B103="",0,INDEX($C$52:$Q$52,B103))</f>
        <v>101.49</v>
      </c>
      <c r="D103">
        <f>IF(OR(B103="",C103&lt;=0),0,IF(C103&lt;=E102+0.000001,1,0))</f>
        <v>0</v>
      </c>
      <c r="E103">
        <f>E102-D103*C103</f>
        <v>25.18</v>
      </c>
      <c r="AD103">
        <f>IF(AND(ISNUMBER(Movimenti!$A85),Movimenti!$L85&lt;&gt;""),Movimenti!$A85,$B$32)</f>
        <v>45596.0</v>
      </c>
      <c r="AE103">
        <f>IF(Movimenti!$L85="",0,N(Movimenti!$L85))</f>
        <v>0</v>
      </c>
    </row>
    <row r="104">
      <c r="A104" t="n">
        <v>5</v>
      </c>
      <c r="B104" t="str">
        <f>IFERROR(MATCH(A104,$C$96:$Q$96,0),"")</f>
        <v/>
      </c>
      <c r="C104">
        <f>IF(B104="",0,INDEX($C$52:$Q$52,B104))</f>
        <v>0</v>
      </c>
      <c r="D104">
        <f>IF(OR(B104="",C104&lt;=0),0,IF(C104&lt;=E103+0.000001,1,0))</f>
        <v>0</v>
      </c>
      <c r="E104">
        <f>E103-D104*C104</f>
        <v>25.18</v>
      </c>
      <c r="AD104">
        <f>IF(AND(ISNUMBER(Movimenti!$A86),Movimenti!$L86&lt;&gt;""),Movimenti!$A86,$B$32)</f>
        <v>45596.0</v>
      </c>
      <c r="AE104">
        <f>IF(Movimenti!$L86="",0,N(Movimenti!$L86))</f>
        <v>0</v>
      </c>
    </row>
    <row r="105">
      <c r="A105" t="n">
        <v>6</v>
      </c>
      <c r="B105" t="str">
        <f>IFERROR(MATCH(A105,$C$96:$Q$96,0),"")</f>
        <v/>
      </c>
      <c r="C105">
        <f>IF(B105="",0,INDEX($C$52:$Q$52,B105))</f>
        <v>0</v>
      </c>
      <c r="D105">
        <f>IF(OR(B105="",C105&lt;=0),0,IF(C105&lt;=E104+0.000001,1,0))</f>
        <v>0</v>
      </c>
      <c r="E105">
        <f>E104-D105*C105</f>
        <v>25.18</v>
      </c>
      <c r="AD105">
        <f>IF(AND(ISNUMBER(Movimenti!$A87),Movimenti!$L87&lt;&gt;""),Movimenti!$A87,$B$32)</f>
        <v>45596.0</v>
      </c>
      <c r="AE105">
        <f>IF(Movimenti!$L87="",0,N(Movimenti!$L87))</f>
        <v>0</v>
      </c>
    </row>
    <row r="106">
      <c r="A106" t="n">
        <v>7</v>
      </c>
      <c r="B106" t="str">
        <f>IFERROR(MATCH(A106,$C$96:$Q$96,0),"")</f>
        <v/>
      </c>
      <c r="C106">
        <f>IF(B106="",0,INDEX($C$52:$Q$52,B106))</f>
        <v>0</v>
      </c>
      <c r="D106">
        <f>IF(OR(B106="",C106&lt;=0),0,IF(C106&lt;=E105+0.000001,1,0))</f>
        <v>0</v>
      </c>
      <c r="E106">
        <f>E105-D106*C106</f>
        <v>25.18</v>
      </c>
      <c r="AD106">
        <f>IF(AND(ISNUMBER(Movimenti!$A88),Movimenti!$L88&lt;&gt;""),Movimenti!$A88,$B$32)</f>
        <v>45596.0</v>
      </c>
      <c r="AE106">
        <f>IF(Movimenti!$L88="",0,N(Movimenti!$L88))</f>
        <v>0</v>
      </c>
    </row>
    <row r="107">
      <c r="A107" t="n">
        <v>8</v>
      </c>
      <c r="B107" t="str">
        <f>IFERROR(MATCH(A107,$C$96:$Q$96,0),"")</f>
        <v/>
      </c>
      <c r="C107">
        <f>IF(B107="",0,INDEX($C$52:$Q$52,B107))</f>
        <v>0</v>
      </c>
      <c r="D107">
        <f>IF(OR(B107="",C107&lt;=0),0,IF(C107&lt;=E106+0.000001,1,0))</f>
        <v>0</v>
      </c>
      <c r="E107">
        <f>E106-D107*C107</f>
        <v>25.18</v>
      </c>
      <c r="AD107">
        <f>IF(AND(ISNUMBER(Movimenti!$A89),Movimenti!$L89&lt;&gt;""),Movimenti!$A89,$B$32)</f>
        <v>45596.0</v>
      </c>
      <c r="AE107">
        <f>IF(Movimenti!$L89="",0,N(Movimenti!$L89))</f>
        <v>0</v>
      </c>
    </row>
    <row r="108">
      <c r="A108" t="n">
        <v>9</v>
      </c>
      <c r="B108" t="str">
        <f>IFERROR(MATCH(A108,$C$96:$Q$96,0),"")</f>
        <v/>
      </c>
      <c r="C108">
        <f>IF(B108="",0,INDEX($C$52:$Q$52,B108))</f>
        <v>0</v>
      </c>
      <c r="D108">
        <f>IF(OR(B108="",C108&lt;=0),0,IF(C108&lt;=E107+0.000001,1,0))</f>
        <v>0</v>
      </c>
      <c r="E108">
        <f>E107-D108*C108</f>
        <v>25.18</v>
      </c>
      <c r="AD108">
        <f>IF(AND(ISNUMBER(Movimenti!$A90),Movimenti!$L90&lt;&gt;""),Movimenti!$A90,$B$32)</f>
        <v>45596.0</v>
      </c>
      <c r="AE108">
        <f>IF(Movimenti!$L90="",0,N(Movimenti!$L90))</f>
        <v>0</v>
      </c>
    </row>
    <row r="109">
      <c r="A109" t="n">
        <v>10</v>
      </c>
      <c r="B109" t="str">
        <f>IFERROR(MATCH(A109,$C$96:$Q$96,0),"")</f>
        <v/>
      </c>
      <c r="C109">
        <f>IF(B109="",0,INDEX($C$52:$Q$52,B109))</f>
        <v>0</v>
      </c>
      <c r="D109">
        <f>IF(OR(B109="",C109&lt;=0),0,IF(C109&lt;=E108+0.000001,1,0))</f>
        <v>0</v>
      </c>
      <c r="E109">
        <f>E108-D109*C109</f>
        <v>25.18</v>
      </c>
      <c r="AD109">
        <f>IF(AND(ISNUMBER(Movimenti!$A91),Movimenti!$L91&lt;&gt;""),Movimenti!$A91,$B$32)</f>
        <v>45596.0</v>
      </c>
      <c r="AE109">
        <f>IF(Movimenti!$L91="",0,N(Movimenti!$L91))</f>
        <v>0</v>
      </c>
    </row>
    <row r="110">
      <c r="A110" t="n">
        <v>11</v>
      </c>
      <c r="B110" t="str">
        <f>IFERROR(MATCH(A110,$C$96:$Q$96,0),"")</f>
        <v/>
      </c>
      <c r="C110">
        <f>IF(B110="",0,INDEX($C$52:$Q$52,B110))</f>
        <v>0</v>
      </c>
      <c r="D110">
        <f>IF(OR(B110="",C110&lt;=0),0,IF(C110&lt;=E109+0.000001,1,0))</f>
        <v>0</v>
      </c>
      <c r="E110">
        <f>E109-D110*C110</f>
        <v>25.18</v>
      </c>
      <c r="AD110">
        <f>IF(AND(ISNUMBER(Movimenti!$A92),Movimenti!$L92&lt;&gt;""),Movimenti!$A92,$B$32)</f>
        <v>45596.0</v>
      </c>
      <c r="AE110">
        <f>IF(Movimenti!$L92="",0,N(Movimenti!$L92))</f>
        <v>0</v>
      </c>
    </row>
    <row r="111">
      <c r="A111" t="n">
        <v>12</v>
      </c>
      <c r="B111" t="str">
        <f>IFERROR(MATCH(A111,$C$96:$Q$96,0),"")</f>
        <v/>
      </c>
      <c r="C111">
        <f>IF(B111="",0,INDEX($C$52:$Q$52,B111))</f>
        <v>0</v>
      </c>
      <c r="D111">
        <f>IF(OR(B111="",C111&lt;=0),0,IF(C111&lt;=E110+0.000001,1,0))</f>
        <v>0</v>
      </c>
      <c r="E111">
        <f>E110-D111*C111</f>
        <v>25.18</v>
      </c>
      <c r="AD111">
        <f>IF(AND(ISNUMBER(Movimenti!$A93),Movimenti!$L93&lt;&gt;""),Movimenti!$A93,$B$32)</f>
        <v>45596.0</v>
      </c>
      <c r="AE111">
        <f>IF(Movimenti!$L93="",0,N(Movimenti!$L93))</f>
        <v>0</v>
      </c>
    </row>
    <row r="112">
      <c r="A112" t="n">
        <v>13</v>
      </c>
      <c r="B112" t="str">
        <f>IFERROR(MATCH(A112,$C$96:$Q$96,0),"")</f>
        <v/>
      </c>
      <c r="C112">
        <f>IF(B112="",0,INDEX($C$52:$Q$52,B112))</f>
        <v>0</v>
      </c>
      <c r="D112">
        <f>IF(OR(B112="",C112&lt;=0),0,IF(C112&lt;=E111+0.000001,1,0))</f>
        <v>0</v>
      </c>
      <c r="E112">
        <f>E111-D112*C112</f>
        <v>25.18</v>
      </c>
      <c r="AD112">
        <f>IF(AND(ISNUMBER(Movimenti!$A94),Movimenti!$L94&lt;&gt;""),Movimenti!$A94,$B$32)</f>
        <v>45596.0</v>
      </c>
      <c r="AE112">
        <f>IF(Movimenti!$L94="",0,N(Movimenti!$L94))</f>
        <v>0</v>
      </c>
    </row>
    <row r="113">
      <c r="A113" t="n">
        <v>14</v>
      </c>
      <c r="B113" t="str">
        <f>IFERROR(MATCH(A113,$C$96:$Q$96,0),"")</f>
        <v/>
      </c>
      <c r="C113">
        <f>IF(B113="",0,INDEX($C$52:$Q$52,B113))</f>
        <v>0</v>
      </c>
      <c r="D113">
        <f>IF(OR(B113="",C113&lt;=0),0,IF(C113&lt;=E112+0.000001,1,0))</f>
        <v>0</v>
      </c>
      <c r="E113">
        <f>E112-D113*C113</f>
        <v>25.18</v>
      </c>
      <c r="AD113">
        <f>IF(AND(ISNUMBER(Movimenti!$A95),Movimenti!$L95&lt;&gt;""),Movimenti!$A95,$B$32)</f>
        <v>45596.0</v>
      </c>
      <c r="AE113">
        <f>IF(Movimenti!$L95="",0,N(Movimenti!$L95))</f>
        <v>0</v>
      </c>
    </row>
    <row r="114">
      <c r="A114" t="n">
        <v>15</v>
      </c>
      <c r="B114" t="str">
        <f>IFERROR(MATCH(A114,$C$96:$Q$96,0),"")</f>
        <v/>
      </c>
      <c r="C114">
        <f>IF(B114="",0,INDEX($C$52:$Q$52,B114))</f>
        <v>0</v>
      </c>
      <c r="D114">
        <f>IF(OR(B114="",C114&lt;=0),0,IF(C114&lt;=E113+0.000001,1,0))</f>
        <v>0</v>
      </c>
      <c r="E114">
        <f>E113-D114*C114</f>
        <v>25.18</v>
      </c>
      <c r="AD114">
        <f>IF(AND(ISNUMBER(Movimenti!$A96),Movimenti!$L96&lt;&gt;""),Movimenti!$A96,$B$32)</f>
        <v>45596.0</v>
      </c>
      <c r="AE114">
        <f>IF(Movimenti!$L96="",0,N(Movimenti!$L96))</f>
        <v>0</v>
      </c>
    </row>
    <row r="115">
      <c r="AD115">
        <f>IF(AND(ISNUMBER(Movimenti!$A97),Movimenti!$L97&lt;&gt;""),Movimenti!$A97,$B$32)</f>
        <v>45596.0</v>
      </c>
      <c r="AE115">
        <f>IF(Movimenti!$L97="",0,N(Movimenti!$L97))</f>
        <v>0</v>
      </c>
    </row>
    <row r="116">
      <c r="A116" t="inlineStr">
        <is>
          <t>Quote da comprare</t>
        </is>
      </c>
      <c r="C116">
        <f>C93+C98</f>
        <v>2</v>
      </c>
      <c r="D116">
        <f>D93+D98</f>
        <v>1</v>
      </c>
      <c r="E116">
        <f>E93+E98</f>
        <v>1</v>
      </c>
      <c r="F116">
        <f>F93+F98</f>
        <v>0</v>
      </c>
      <c r="G116">
        <f>G93+G98</f>
        <v>0</v>
      </c>
      <c r="H116">
        <f>H93+H98</f>
        <v>0</v>
      </c>
      <c r="I116">
        <f>I93+I98</f>
        <v>0</v>
      </c>
      <c r="J116">
        <f>J93+J98</f>
        <v>0</v>
      </c>
      <c r="K116">
        <f>K93+K98</f>
        <v>0</v>
      </c>
      <c r="L116">
        <f>L93+L98</f>
        <v>0</v>
      </c>
      <c r="M116">
        <f>M93+M98</f>
        <v>0</v>
      </c>
      <c r="N116">
        <f>N93+N98</f>
        <v>0</v>
      </c>
      <c r="O116">
        <f>O93+O98</f>
        <v>0</v>
      </c>
      <c r="P116">
        <f>P93+P98</f>
        <v>0</v>
      </c>
      <c r="Q116">
        <f>Q93+Q98</f>
        <v>0</v>
      </c>
      <c r="AD116">
        <f>IF(AND(ISNUMBER(Movimenti!$A98),Movimenti!$L98&lt;&gt;""),Movimenti!$A98,$B$32)</f>
        <v>45596.0</v>
      </c>
      <c r="AE116">
        <f>IF(Movimenti!$L98="",0,N(Movimenti!$L98))</f>
        <v>0</v>
      </c>
    </row>
    <row r="117">
      <c r="A117" t="inlineStr">
        <is>
          <t>Spesa finale</t>
        </is>
      </c>
      <c r="C117">
        <f>ROUND(C116*C$52,2)</f>
        <v>226.08</v>
      </c>
      <c r="D117">
        <f>ROUND(D116*D$52,2)</f>
        <v>43.9</v>
      </c>
      <c r="E117">
        <f>ROUND(E116*E$52,2)</f>
        <v>104.84</v>
      </c>
      <c r="F117">
        <f>ROUND(F116*F$52,2)</f>
        <v>0</v>
      </c>
      <c r="G117">
        <f>ROUND(G116*G$52,2)</f>
        <v>0</v>
      </c>
      <c r="H117">
        <f>ROUND(H116*H$52,2)</f>
        <v>0</v>
      </c>
      <c r="I117">
        <f>ROUND(I116*I$52,2)</f>
        <v>0</v>
      </c>
      <c r="J117">
        <f>ROUND(J116*J$52,2)</f>
        <v>0</v>
      </c>
      <c r="K117">
        <f>ROUND(K116*K$52,2)</f>
        <v>0</v>
      </c>
      <c r="L117">
        <f>ROUND(L116*L$52,2)</f>
        <v>0</v>
      </c>
      <c r="M117">
        <f>ROUND(M116*M$52,2)</f>
        <v>0</v>
      </c>
      <c r="N117">
        <f>ROUND(N116*N$52,2)</f>
        <v>0</v>
      </c>
      <c r="O117">
        <f>ROUND(O116*O$52,2)</f>
        <v>0</v>
      </c>
      <c r="P117">
        <f>ROUND(P116*P$52,2)</f>
        <v>0</v>
      </c>
      <c r="Q117">
        <f>ROUND(Q116*Q$52,2)</f>
        <v>0</v>
      </c>
      <c r="AD117">
        <f>IF(AND(ISNUMBER(Movimenti!$A99),Movimenti!$L99&lt;&gt;""),Movimenti!$A99,$B$32)</f>
        <v>45596.0</v>
      </c>
      <c r="AE117">
        <f>IF(Movimenti!$L99="",0,N(Movimenti!$L99))</f>
        <v>0</v>
      </c>
    </row>
    <row r="118">
      <c r="A118" t="inlineStr">
        <is>
          <t>Peso dopo</t>
        </is>
      </c>
      <c r="C118">
        <f>IF($B$121=0,0,(C$50+C117)/$B$121)</f>
        <v>0.550652726700674</v>
      </c>
      <c r="D118">
        <f>IF($B$121=0,0,(D$50+D117)/$B$121)</f>
        <v>0.0981196175621565</v>
      </c>
      <c r="E118">
        <f>IF($B$121=0,0,(E$50+E117)/$B$121)</f>
        <v>0.252349833315281</v>
      </c>
      <c r="F118">
        <f>IF($B$121=0,0,(F$50+F117)/$B$121)</f>
        <v>0.0988778224218886</v>
      </c>
      <c r="G118">
        <f>IF($B$121=0,0,(G$50+G117)/$B$121)</f>
        <v>0</v>
      </c>
      <c r="H118">
        <f>IF($B$121=0,0,(H$50+H117)/$B$121)</f>
        <v>0</v>
      </c>
      <c r="I118">
        <f>IF($B$121=0,0,(I$50+I117)/$B$121)</f>
        <v>0</v>
      </c>
      <c r="J118">
        <f>IF($B$121=0,0,(J$50+J117)/$B$121)</f>
        <v>0</v>
      </c>
      <c r="K118">
        <f>IF($B$121=0,0,(K$50+K117)/$B$121)</f>
        <v>0</v>
      </c>
      <c r="L118">
        <f>IF($B$121=0,0,(L$50+L117)/$B$121)</f>
        <v>0</v>
      </c>
      <c r="M118">
        <f>IF($B$121=0,0,(M$50+M117)/$B$121)</f>
        <v>0</v>
      </c>
      <c r="N118">
        <f>IF($B$121=0,0,(N$50+N117)/$B$121)</f>
        <v>0</v>
      </c>
      <c r="O118">
        <f>IF($B$121=0,0,(O$50+O117)/$B$121)</f>
        <v>0</v>
      </c>
      <c r="P118">
        <f>IF($B$121=0,0,(P$50+P117)/$B$121)</f>
        <v>0</v>
      </c>
      <c r="Q118">
        <f>IF($B$121=0,0,(Q$50+Q117)/$B$121)</f>
        <v>0</v>
      </c>
      <c r="AD118">
        <f>IF(AND(ISNUMBER(Movimenti!$A100),Movimenti!$L100&lt;&gt;""),Movimenti!$A100,$B$32)</f>
        <v>45596.0</v>
      </c>
      <c r="AE118">
        <f>IF(Movimenti!$L100="",0,N(Movimenti!$L100))</f>
        <v>0</v>
      </c>
    </row>
    <row r="119">
      <c r="A119" t="inlineStr">
        <is>
          <t>Scostamento dopo</t>
        </is>
      </c>
      <c r="C119">
        <f>IF(AND(C$50=0,C117=0,C$51=0),0,C118-C$51)</f>
        <v>-0.00184727329932588</v>
      </c>
      <c r="D119">
        <f>IF(AND(D$50=0,D117=0,D$51=0),0,D118-D$51)</f>
        <v>0.000619617562156463</v>
      </c>
      <c r="E119">
        <f>IF(AND(E$50=0,E117=0,E$51=0),0,E118-E$51)</f>
        <v>0.00234983331528088</v>
      </c>
      <c r="F119">
        <f>IF(AND(F$50=0,F117=0,F$51=0),0,F118-F$51)</f>
        <v>-0.00112217757811145</v>
      </c>
      <c r="G119">
        <f>IF(AND(G$50=0,G117=0,G$51=0),0,G118-G$51)</f>
        <v>0</v>
      </c>
      <c r="H119">
        <f>IF(AND(H$50=0,H117=0,H$51=0),0,H118-H$51)</f>
        <v>0</v>
      </c>
      <c r="I119">
        <f>IF(AND(I$50=0,I117=0,I$51=0),0,I118-I$51)</f>
        <v>0</v>
      </c>
      <c r="J119">
        <f>IF(AND(J$50=0,J117=0,J$51=0),0,J118-J$51)</f>
        <v>0</v>
      </c>
      <c r="K119">
        <f>IF(AND(K$50=0,K117=0,K$51=0),0,K118-K$51)</f>
        <v>0</v>
      </c>
      <c r="L119">
        <f>IF(AND(L$50=0,L117=0,L$51=0),0,L118-L$51)</f>
        <v>0</v>
      </c>
      <c r="M119">
        <f>IF(AND(M$50=0,M117=0,M$51=0),0,M118-M$51)</f>
        <v>0</v>
      </c>
      <c r="N119">
        <f>IF(AND(N$50=0,N117=0,N$51=0),0,N118-N$51)</f>
        <v>0</v>
      </c>
      <c r="O119">
        <f>IF(AND(O$50=0,O117=0,O$51=0),0,O118-O$51)</f>
        <v>0</v>
      </c>
      <c r="P119">
        <f>IF(AND(P$50=0,P117=0,P$51=0),0,P118-P$51)</f>
        <v>0</v>
      </c>
      <c r="Q119">
        <f>IF(AND(Q$50=0,Q117=0,Q$51=0),0,Q118-Q$51)</f>
        <v>0</v>
      </c>
      <c r="AD119">
        <f>IF(AND(ISNUMBER(Movimenti!$A101),Movimenti!$L101&lt;&gt;""),Movimenti!$A101,$B$32)</f>
        <v>45596.0</v>
      </c>
      <c r="AE119">
        <f>IF(Movimenti!$L101="",0,N(Movimenti!$L101))</f>
        <v>0</v>
      </c>
    </row>
    <row r="120">
      <c r="A120" t="inlineStr">
        <is>
          <t>Speso</t>
        </is>
      </c>
      <c r="B120">
        <f>SUM($C$117:$Q$117)</f>
        <v>374.82</v>
      </c>
      <c r="AD120">
        <f>IF(AND(ISNUMBER(Movimenti!$A102),Movimenti!$L102&lt;&gt;""),Movimenti!$A102,$B$32)</f>
        <v>45596.0</v>
      </c>
      <c r="AE120">
        <f>IF(Movimenti!$L102="",0,N(Movimenti!$L102))</f>
        <v>0</v>
      </c>
    </row>
    <row r="121">
      <c r="A121" t="inlineStr">
        <is>
          <t>Valore dopo</t>
        </is>
      </c>
      <c r="B121">
        <f>$J$22+B120</f>
        <v>17449.11</v>
      </c>
      <c r="AD121">
        <f>IF(AND(ISNUMBER(Movimenti!$A103),Movimenti!$L103&lt;&gt;""),Movimenti!$A103,$B$32)</f>
        <v>45596.0</v>
      </c>
      <c r="AE121">
        <f>IF(Movimenti!$L103="",0,N(Movimenti!$L103))</f>
        <v>0</v>
      </c>
    </row>
    <row r="122">
      <c r="A122" t="inlineStr">
        <is>
          <t>Resta</t>
        </is>
      </c>
      <c r="B122">
        <f>$B$48-B120</f>
        <v>25.18</v>
      </c>
      <c r="AD122">
        <f>IF(AND(ISNUMBER(Movimenti!$A104),Movimenti!$L104&lt;&gt;""),Movimenti!$A104,$B$32)</f>
        <v>45596.0</v>
      </c>
      <c r="AE122">
        <f>IF(Movimenti!$L104="",0,N(Movimenti!$L104))</f>
        <v>0</v>
      </c>
    </row>
    <row r="123">
      <c r="A123" t="inlineStr">
        <is>
          <t>Ordini</t>
        </is>
      </c>
      <c r="B123">
        <f>COUNTIF($C$117:$Q$117,"&gt;0")</f>
        <v>3</v>
      </c>
      <c r="AD123">
        <f>IF(AND(ISNUMBER(Movimenti!$A105),Movimenti!$L105&lt;&gt;""),Movimenti!$A105,$B$32)</f>
        <v>45596.0</v>
      </c>
      <c r="AE123">
        <f>IF(Movimenti!$L105="",0,N(Movimenti!$L105))</f>
        <v>0</v>
      </c>
    </row>
    <row r="124">
      <c r="A124" t="inlineStr">
        <is>
          <t>Commissioni</t>
        </is>
      </c>
      <c r="B124">
        <f>B123*Impostazioni!$B$9</f>
        <v>3</v>
      </c>
      <c r="AD124">
        <f>IF(AND(ISNUMBER(Movimenti!$A106),Movimenti!$L106&lt;&gt;""),Movimenti!$A106,$B$32)</f>
        <v>45596.0</v>
      </c>
      <c r="AE124">
        <f>IF(Movimenti!$L106="",0,N(Movimenti!$L106))</f>
        <v>0</v>
      </c>
    </row>
    <row r="125">
      <c r="AD125">
        <f>IF(AND(ISNUMBER(Movimenti!$A107),Movimenti!$L107&lt;&gt;""),Movimenti!$A107,$B$32)</f>
        <v>45596.0</v>
      </c>
      <c r="AE125">
        <f>IF(Movimenti!$L107="",0,N(Movimenti!$L107))</f>
        <v>0</v>
      </c>
    </row>
    <row r="126">
      <c r="A126" t="inlineStr">
        <is>
          <t>Compra (+) o vendi (−)</t>
        </is>
      </c>
      <c r="C126">
        <f>IF(B7=0,0,ROUND(C$51*($J$22+$B$48)-C$50,2))</f>
        <v>272.23</v>
      </c>
      <c r="D126">
        <f>IF(B8=0,0,ROUND(D$51*($J$22+$B$48)-D$50,2))</f>
        <v>35.54</v>
      </c>
      <c r="E126">
        <f>IF(B9=0,0,ROUND(E$51*($J$22+$B$48)-E$50,2))</f>
        <v>70.13</v>
      </c>
      <c r="F126">
        <f>IF(B10=0,0,ROUND(F$51*($J$22+$B$48)-F$50,2))</f>
        <v>22.1</v>
      </c>
      <c r="G126">
        <f>IF(B11=0,0,ROUND(G$51*($J$22+$B$48)-G$50,2))</f>
        <v>0</v>
      </c>
      <c r="H126">
        <f>IF(B12=0,0,ROUND(H$51*($J$22+$B$48)-H$50,2))</f>
        <v>0</v>
      </c>
      <c r="I126">
        <f>IF(B13=0,0,ROUND(I$51*($J$22+$B$48)-I$50,2))</f>
        <v>0</v>
      </c>
      <c r="J126">
        <f>IF(B14=0,0,ROUND(J$51*($J$22+$B$48)-J$50,2))</f>
        <v>0</v>
      </c>
      <c r="K126">
        <f>IF(B15=0,0,ROUND(K$51*($J$22+$B$48)-K$50,2))</f>
        <v>0</v>
      </c>
      <c r="L126">
        <f>IF(B16=0,0,ROUND(L$51*($J$22+$B$48)-L$50,2))</f>
        <v>0</v>
      </c>
      <c r="M126">
        <f>IF(B17=0,0,ROUND(M$51*($J$22+$B$48)-M$50,2))</f>
        <v>0</v>
      </c>
      <c r="N126">
        <f>IF(B18=0,0,ROUND(N$51*($J$22+$B$48)-N$50,2))</f>
        <v>0</v>
      </c>
      <c r="O126">
        <f>IF(B19=0,0,ROUND(O$51*($J$22+$B$48)-O$50,2))</f>
        <v>0</v>
      </c>
      <c r="P126">
        <f>IF(B20=0,0,ROUND(P$51*($J$22+$B$48)-P$50,2))</f>
        <v>0</v>
      </c>
      <c r="Q126">
        <f>IF(B21=0,0,ROUND(Q$51*($J$22+$B$48)-Q$50,2))</f>
        <v>0</v>
      </c>
      <c r="AD126">
        <f>IF(AND(ISNUMBER(Movimenti!$A108),Movimenti!$L108&lt;&gt;""),Movimenti!$A108,$B$32)</f>
        <v>45596.0</v>
      </c>
      <c r="AE126">
        <f>IF(Movimenti!$L108="",0,N(Movimenti!$L108))</f>
        <v>0</v>
      </c>
    </row>
    <row r="127">
      <c r="A127" t="inlineStr">
        <is>
          <t>Quote</t>
        </is>
      </c>
      <c r="C127">
        <f>IF(C$52&gt;0,C126/C$52,0)</f>
        <v>2.40826256192498</v>
      </c>
      <c r="D127">
        <f>IF(D$52&gt;0,D126/D$52,0)</f>
        <v>0.809567198177677</v>
      </c>
      <c r="E127">
        <f>IF(E$52&gt;0,E126/E$52,0)</f>
        <v>0.668924074780618</v>
      </c>
      <c r="F127">
        <f>IF(F$52&gt;0,F126/F$52,0)</f>
        <v>0.217755443886097</v>
      </c>
      <c r="G127">
        <f>IF(G$52&gt;0,G126/G$52,0)</f>
        <v>0</v>
      </c>
      <c r="H127">
        <f>IF(H$52&gt;0,H126/H$52,0)</f>
        <v>0</v>
      </c>
      <c r="I127">
        <f>IF(I$52&gt;0,I126/I$52,0)</f>
        <v>0</v>
      </c>
      <c r="J127">
        <f>IF(J$52&gt;0,J126/J$52,0)</f>
        <v>0</v>
      </c>
      <c r="K127">
        <f>IF(K$52&gt;0,K126/K$52,0)</f>
        <v>0</v>
      </c>
      <c r="L127">
        <f>IF(L$52&gt;0,L126/L$52,0)</f>
        <v>0</v>
      </c>
      <c r="M127">
        <f>IF(M$52&gt;0,M126/M$52,0)</f>
        <v>0</v>
      </c>
      <c r="N127">
        <f>IF(N$52&gt;0,N126/N$52,0)</f>
        <v>0</v>
      </c>
      <c r="O127">
        <f>IF(O$52&gt;0,O126/O$52,0)</f>
        <v>0</v>
      </c>
      <c r="P127">
        <f>IF(P$52&gt;0,P126/P$52,0)</f>
        <v>0</v>
      </c>
      <c r="Q127">
        <f>IF(Q$52&gt;0,Q126/Q$52,0)</f>
        <v>0</v>
      </c>
      <c r="AD127">
        <f>IF(AND(ISNUMBER(Movimenti!$A109),Movimenti!$L109&lt;&gt;""),Movimenti!$A109,$B$32)</f>
        <v>45596.0</v>
      </c>
      <c r="AE127">
        <f>IF(Movimenti!$L109="",0,N(Movimenti!$L109))</f>
        <v>0</v>
      </c>
    </row>
    <row r="128">
      <c r="A128" t="inlineStr">
        <is>
          <t>Tasse stimate</t>
        </is>
      </c>
      <c r="C128">
        <f>IF(OR(C126&gt;=0,C$52&lt;=0),0,ROUND(-C126*MAX(0,1-N(H7)/C$52)*V7,2))</f>
        <v>0</v>
      </c>
      <c r="D128">
        <f>IF(OR(D126&gt;=0,D$52&lt;=0),0,ROUND(-D126*MAX(0,1-N(H8)/D$52)*V8,2))</f>
        <v>0</v>
      </c>
      <c r="E128">
        <f>IF(OR(E126&gt;=0,E$52&lt;=0),0,ROUND(-E126*MAX(0,1-N(H9)/E$52)*V9,2))</f>
        <v>0</v>
      </c>
      <c r="F128">
        <f>IF(OR(F126&gt;=0,F$52&lt;=0),0,ROUND(-F126*MAX(0,1-N(H10)/F$52)*V10,2))</f>
        <v>0</v>
      </c>
      <c r="G128">
        <f>IF(OR(G126&gt;=0,G$52&lt;=0),0,ROUND(-G126*MAX(0,1-N(H11)/G$52)*V11,2))</f>
        <v>0</v>
      </c>
      <c r="H128">
        <f>IF(OR(H126&gt;=0,H$52&lt;=0),0,ROUND(-H126*MAX(0,1-N(H12)/H$52)*V12,2))</f>
        <v>0</v>
      </c>
      <c r="I128">
        <f>IF(OR(I126&gt;=0,I$52&lt;=0),0,ROUND(-I126*MAX(0,1-N(H13)/I$52)*V13,2))</f>
        <v>0</v>
      </c>
      <c r="J128">
        <f>IF(OR(J126&gt;=0,J$52&lt;=0),0,ROUND(-J126*MAX(0,1-N(H14)/J$52)*V14,2))</f>
        <v>0</v>
      </c>
      <c r="K128">
        <f>IF(OR(K126&gt;=0,K$52&lt;=0),0,ROUND(-K126*MAX(0,1-N(H15)/K$52)*V15,2))</f>
        <v>0</v>
      </c>
      <c r="L128">
        <f>IF(OR(L126&gt;=0,L$52&lt;=0),0,ROUND(-L126*MAX(0,1-N(H16)/L$52)*V16,2))</f>
        <v>0</v>
      </c>
      <c r="M128">
        <f>IF(OR(M126&gt;=0,M$52&lt;=0),0,ROUND(-M126*MAX(0,1-N(H17)/M$52)*V17,2))</f>
        <v>0</v>
      </c>
      <c r="N128">
        <f>IF(OR(N126&gt;=0,N$52&lt;=0),0,ROUND(-N126*MAX(0,1-N(H18)/N$52)*V18,2))</f>
        <v>0</v>
      </c>
      <c r="O128">
        <f>IF(OR(O126&gt;=0,O$52&lt;=0),0,ROUND(-O126*MAX(0,1-N(H19)/O$52)*V19,2))</f>
        <v>0</v>
      </c>
      <c r="P128">
        <f>IF(OR(P126&gt;=0,P$52&lt;=0),0,ROUND(-P126*MAX(0,1-N(H20)/P$52)*V20,2))</f>
        <v>0</v>
      </c>
      <c r="Q128">
        <f>IF(OR(Q126&gt;=0,Q$52&lt;=0),0,ROUND(-Q126*MAX(0,1-N(H21)/Q$52)*V21,2))</f>
        <v>0</v>
      </c>
      <c r="AD128">
        <f>IF(AND(ISNUMBER(Movimenti!$A110),Movimenti!$L110&lt;&gt;""),Movimenti!$A110,$B$32)</f>
        <v>45596.0</v>
      </c>
      <c r="AE128">
        <f>IF(Movimenti!$L110="",0,N(Movimenti!$L110))</f>
        <v>0</v>
      </c>
    </row>
    <row r="129">
      <c r="AD129">
        <f>IF(AND(ISNUMBER(Movimenti!$A111),Movimenti!$L111&lt;&gt;""),Movimenti!$A111,$B$32)</f>
        <v>45596.0</v>
      </c>
      <c r="AE129">
        <f>IF(Movimenti!$L111="",0,N(Movimenti!$L111))</f>
        <v>0</v>
      </c>
    </row>
    <row r="130">
      <c r="A130" t="inlineStr">
        <is>
          <t>Vendite</t>
        </is>
      </c>
      <c r="B130">
        <f>-SUMIF($C$126:$Q$126,"&lt;0")</f>
        <v>0</v>
      </c>
      <c r="AD130">
        <f>IF(AND(ISNUMBER(Movimenti!$A112),Movimenti!$L112&lt;&gt;""),Movimenti!$A112,$B$32)</f>
        <v>45596.0</v>
      </c>
      <c r="AE130">
        <f>IF(Movimenti!$L112="",0,N(Movimenti!$L112))</f>
        <v>0</v>
      </c>
    </row>
    <row r="131">
      <c r="A131" t="inlineStr">
        <is>
          <t>Acquisti</t>
        </is>
      </c>
      <c r="B131">
        <f>SUMIF($C$126:$Q$126,"&gt;0")</f>
        <v>400</v>
      </c>
      <c r="AD131">
        <f>IF(AND(ISNUMBER(Movimenti!$A113),Movimenti!$L113&lt;&gt;""),Movimenti!$A113,$B$32)</f>
        <v>45596.0</v>
      </c>
      <c r="AE131">
        <f>IF(Movimenti!$L113="",0,N(Movimenti!$L113))</f>
        <v>0</v>
      </c>
    </row>
    <row r="132">
      <c r="A132" t="inlineStr">
        <is>
          <t>Tasse</t>
        </is>
      </c>
      <c r="B132">
        <f>SUM($C$128:$Q$128)</f>
        <v>0</v>
      </c>
      <c r="AD132">
        <f>IF(AND(ISNUMBER(Movimenti!$A114),Movimenti!$L114&lt;&gt;""),Movimenti!$A114,$B$32)</f>
        <v>45596.0</v>
      </c>
      <c r="AE132">
        <f>IF(Movimenti!$L114="",0,N(Movimenti!$L114))</f>
        <v>0</v>
      </c>
    </row>
    <row r="133">
      <c r="AD133">
        <f>IF(AND(ISNUMBER(Movimenti!$A115),Movimenti!$L115&lt;&gt;""),Movimenti!$A115,$B$32)</f>
        <v>45596.0</v>
      </c>
      <c r="AE133">
        <f>IF(Movimenti!$L115="",0,N(Movimenti!$L115))</f>
        <v>0</v>
      </c>
    </row>
    <row r="134">
      <c r="AD134">
        <f>IF(AND(ISNUMBER(Movimenti!$A116),Movimenti!$L116&lt;&gt;""),Movimenti!$A116,$B$32)</f>
        <v>45596.0</v>
      </c>
      <c r="AE134">
        <f>IF(Movimenti!$L116="",0,N(Movimenti!$L116))</f>
        <v>0</v>
      </c>
    </row>
    <row r="135">
      <c r="AD135">
        <f>IF(AND(ISNUMBER(Movimenti!$A117),Movimenti!$L117&lt;&gt;""),Movimenti!$A117,$B$32)</f>
        <v>45596.0</v>
      </c>
      <c r="AE135">
        <f>IF(Movimenti!$L117="",0,N(Movimenti!$L117))</f>
        <v>0</v>
      </c>
    </row>
    <row r="136">
      <c r="AD136">
        <f>IF(AND(ISNUMBER(Movimenti!$A118),Movimenti!$L118&lt;&gt;""),Movimenti!$A118,$B$32)</f>
        <v>45596.0</v>
      </c>
      <c r="AE136">
        <f>IF(Movimenti!$L118="",0,N(Movimenti!$L118))</f>
        <v>0</v>
      </c>
    </row>
    <row r="137">
      <c r="AD137">
        <f>IF(AND(ISNUMBER(Movimenti!$A119),Movimenti!$L119&lt;&gt;""),Movimenti!$A119,$B$32)</f>
        <v>45596.0</v>
      </c>
      <c r="AE137">
        <f>IF(Movimenti!$L119="",0,N(Movimenti!$L119))</f>
        <v>0</v>
      </c>
    </row>
    <row r="138">
      <c r="AD138">
        <f>IF(AND(ISNUMBER(Movimenti!$A120),Movimenti!$L120&lt;&gt;""),Movimenti!$A120,$B$32)</f>
        <v>45596.0</v>
      </c>
      <c r="AE138">
        <f>IF(Movimenti!$L120="",0,N(Movimenti!$L120))</f>
        <v>0</v>
      </c>
    </row>
    <row r="139">
      <c r="A139" t="inlineStr">
        <is>
          <t>N.</t>
        </is>
      </c>
      <c r="B139" t="inlineStr">
        <is>
          <t>Posizione</t>
        </is>
      </c>
      <c r="C139" t="inlineStr">
        <is>
          <t>ETF</t>
        </is>
      </c>
      <c r="D139" t="inlineStr">
        <is>
          <t>Valore</t>
        </is>
      </c>
      <c r="E139" t="inlineStr">
        <is>
          <t>Peso</t>
        </is>
      </c>
      <c r="F139" t="inlineStr">
        <is>
          <t>Obiettivo</t>
        </is>
      </c>
      <c r="G139" t="inlineStr">
        <is>
          <t>Scostamento</t>
        </is>
      </c>
      <c r="H139" t="inlineStr">
        <is>
          <t>Stato</t>
        </is>
      </c>
      <c r="I139" t="inlineStr">
        <is>
          <t>Compra €</t>
        </is>
      </c>
      <c r="J139" t="inlineStr">
        <is>
          <t>Quote</t>
        </is>
      </c>
      <c r="K139" t="inlineStr">
        <is>
          <t>Peso dopo</t>
        </is>
      </c>
      <c r="L139" t="inlineStr">
        <is>
          <t>Scost. dopo</t>
        </is>
      </c>
      <c r="M139" t="inlineStr">
        <is>
          <t>Con vendite €</t>
        </is>
      </c>
      <c r="N139" t="inlineStr">
        <is>
          <t>Quote con vendite</t>
        </is>
      </c>
      <c r="O139" t="inlineStr">
        <is>
          <t>Tasse</t>
        </is>
      </c>
      <c r="P139" t="inlineStr">
        <is>
          <t>Quote possedute</t>
        </is>
      </c>
      <c r="Q139" t="inlineStr">
        <is>
          <t>Prezzo medio</t>
        </is>
      </c>
      <c r="R139" t="inlineStr">
        <is>
          <t>Prezzo</t>
        </is>
      </c>
      <c r="S139" t="inlineStr">
        <is>
          <t>Guadagno €</t>
        </is>
      </c>
      <c r="T139" t="inlineStr">
        <is>
          <t>Guadagno %</t>
        </is>
      </c>
      <c r="U139" t="inlineStr">
        <is>
          <t>Dividendi</t>
        </is>
      </c>
      <c r="V139" t="inlineStr">
        <is>
          <t>TER</t>
        </is>
      </c>
      <c r="W139" t="inlineStr">
        <is>
          <t>Costo TER</t>
        </is>
      </c>
      <c r="X139" t="inlineStr">
        <is>
          <t>Classe</t>
        </is>
      </c>
      <c r="Y139" t="inlineStr">
        <is>
          <t>Da comprare (lista)</t>
        </is>
      </c>
      <c r="AD139">
        <f>IF(AND(ISNUMBER(Movimenti!$A121),Movimenti!$L121&lt;&gt;""),Movimenti!$A121,$B$32)</f>
        <v>45596.0</v>
      </c>
      <c r="AE139">
        <f>IF(Movimenti!$L121="",0,N(Movimenti!$L121))</f>
        <v>0</v>
      </c>
    </row>
    <row r="140">
      <c r="A140" t="n">
        <v>1</v>
      </c>
      <c r="B140">
        <f>IFERROR(SMALL($Z$7:$Z$21,A140)-6,"")</f>
        <v>1</v>
      </c>
      <c r="C140" t="str">
        <f>IF($B140="","",INDEX($A$7:$A$21,$B140))</f>
        <v>Azionario Mondo</v>
      </c>
      <c r="D140">
        <f>IF($B140="","",INDEX($J$7:$J$21,$B140))</f>
        <v>9382.32</v>
      </c>
      <c r="E140">
        <f>IF($B140="","",INDEX($K$7:$K$21,$B140))</f>
        <v>0.549499862073328</v>
      </c>
      <c r="F140">
        <f>IF($B140="","",INDEX($M$7:$M$21,$B140))</f>
        <v>0.5525</v>
      </c>
      <c r="G140">
        <f>IF($B140="","",INDEX($N$7:$N$21,$B140))</f>
        <v>-0.0030001379266722</v>
      </c>
      <c r="H140" t="str">
        <f>IF($B140="","",INDEX($W$7:$W$21,$B140))</f>
        <v>OK</v>
      </c>
      <c r="I140">
        <f>IF($B140="","",INDEX($C$117:$Q$117,$B140))</f>
        <v>226.08</v>
      </c>
      <c r="J140">
        <f>IF($B140="","",INDEX($C$116:$Q$116,$B140))</f>
        <v>2</v>
      </c>
      <c r="K140">
        <f>IF($B140="","",INDEX($C$118:$Q$118,$B140))</f>
        <v>0.550652726700674</v>
      </c>
      <c r="L140">
        <f>IF($B140="","",INDEX($C$119:$Q$119,$B140))</f>
        <v>-0.00184727329932588</v>
      </c>
      <c r="M140">
        <f>IF($B140="","",INDEX($C$126:$Q$126,$B140))</f>
        <v>272.23</v>
      </c>
      <c r="N140">
        <f>IF($B140="","",INDEX($C$127:$Q$127,$B140))</f>
        <v>2.40826256192498</v>
      </c>
      <c r="O140">
        <f>IF($B140="","",INDEX($C$128:$Q$128,$B140))</f>
        <v>0</v>
      </c>
      <c r="P140">
        <f>IF($B140="","",INDEX($F$7:$F$21,$B140))</f>
        <v>83</v>
      </c>
      <c r="Q140">
        <f>IF($B140="","",INDEX($H$7:$H$21,$B140))</f>
        <v>95.7558953053593</v>
      </c>
      <c r="R140">
        <f>IF($B140="","",INDEX($I$7:$I$21,$B140))</f>
        <v>113.04</v>
      </c>
      <c r="S140">
        <f>IF($B140="","",INDEX($R$7:$R$21,$B140))</f>
        <v>1509.47</v>
      </c>
      <c r="T140">
        <f>IF($B140="","",INDEX($S$7:$S$21,$B140))</f>
        <v>0.180501729314135</v>
      </c>
      <c r="U140">
        <f>IF($B140="","",INDEX($Q$7:$Q$21,$B140))</f>
        <v>0</v>
      </c>
      <c r="V140">
        <f>IF($B140="","",INDEX($T$7:$T$21,$B140))</f>
        <v>0.002</v>
      </c>
      <c r="W140">
        <f>IF($B140="","",INDEX($U$7:$U$21,$B140))</f>
        <v>18.76464</v>
      </c>
      <c r="X140" t="str">
        <f>IF($B140="","",IF(INDEX(ETF!$D$7:$D$21,$B140)="","–",INDEX(ETF!$D$7:$D$21,$B140)))</f>
        <v>Azionario</v>
      </c>
      <c r="Y140">
        <f>IF(N(I140)&gt;0.004,ROW(),"")</f>
        <v>140</v>
      </c>
      <c r="AD140">
        <f>IF(AND(ISNUMBER(Movimenti!$A122),Movimenti!$L122&lt;&gt;""),Movimenti!$A122,$B$32)</f>
        <v>45596.0</v>
      </c>
      <c r="AE140">
        <f>IF(Movimenti!$L122="",0,N(Movimenti!$L122))</f>
        <v>0</v>
      </c>
    </row>
    <row r="141">
      <c r="A141" t="n">
        <v>2</v>
      </c>
      <c r="B141">
        <f>IFERROR(SMALL($Z$7:$Z$21,A141)-6,"")</f>
        <v>2</v>
      </c>
      <c r="C141" t="str">
        <f>IF($B141="","",INDEX($A$7:$A$21,$B141))</f>
        <v>Azionario Emergenti</v>
      </c>
      <c r="D141">
        <f>IF($B141="","",INDEX($J$7:$J$21,$B141))</f>
        <v>1668.2</v>
      </c>
      <c r="E141">
        <f>IF($B141="","",INDEX($K$7:$K$21,$B141))</f>
        <v>0.0977024520492507</v>
      </c>
      <c r="F141">
        <f>IF($B141="","",INDEX($M$7:$M$21,$B141))</f>
        <v>0.0975</v>
      </c>
      <c r="G141">
        <f>IF($B141="","",INDEX($N$7:$N$21,$B141))</f>
        <v>0.000202452049250651</v>
      </c>
      <c r="H141" t="str">
        <f>IF($B141="","",INDEX($W$7:$W$21,$B141))</f>
        <v>OK</v>
      </c>
      <c r="I141">
        <f>IF($B141="","",INDEX($C$117:$Q$117,$B141))</f>
        <v>43.9</v>
      </c>
      <c r="J141">
        <f>IF($B141="","",INDEX($C$116:$Q$116,$B141))</f>
        <v>1</v>
      </c>
      <c r="K141">
        <f>IF($B141="","",INDEX($C$118:$Q$118,$B141))</f>
        <v>0.0981196175621565</v>
      </c>
      <c r="L141">
        <f>IF($B141="","",INDEX($C$119:$Q$119,$B141))</f>
        <v>0.000619617562156463</v>
      </c>
      <c r="M141">
        <f>IF($B141="","",INDEX($C$126:$Q$126,$B141))</f>
        <v>35.54</v>
      </c>
      <c r="N141">
        <f>IF($B141="","",INDEX($C$127:$Q$127,$B141))</f>
        <v>0.809567198177677</v>
      </c>
      <c r="O141">
        <f>IF($B141="","",INDEX($C$128:$Q$128,$B141))</f>
        <v>0</v>
      </c>
      <c r="P141">
        <f>IF($B141="","",INDEX($F$7:$F$21,$B141))</f>
        <v>38</v>
      </c>
      <c r="Q141">
        <f>IF($B141="","",INDEX($H$7:$H$21,$B141))</f>
        <v>43.061052631579</v>
      </c>
      <c r="R141">
        <f>IF($B141="","",INDEX($I$7:$I$21,$B141))</f>
        <v>43.9</v>
      </c>
      <c r="S141">
        <f>IF($B141="","",INDEX($R$7:$R$21,$B141))</f>
        <v>69.5399999999999</v>
      </c>
      <c r="T141">
        <f>IF($B141="","",INDEX($S$7:$S$21,$B141))</f>
        <v>0.0194827417620025</v>
      </c>
      <c r="U141">
        <f>IF($B141="","",INDEX($Q$7:$Q$21,$B141))</f>
        <v>37.66</v>
      </c>
      <c r="V141">
        <f>IF($B141="","",INDEX($T$7:$T$21,$B141))</f>
        <v>0.0018</v>
      </c>
      <c r="W141">
        <f>IF($B141="","",INDEX($U$7:$U$21,$B141))</f>
        <v>3.00276</v>
      </c>
      <c r="X141" t="str">
        <f>IF($B141="","",IF(INDEX(ETF!$D$7:$D$21,$B141)="","–",INDEX(ETF!$D$7:$D$21,$B141)))</f>
        <v>Azionario</v>
      </c>
      <c r="Y141">
        <f>IF(N(I141)&gt;0.004,ROW(),"")</f>
        <v>141</v>
      </c>
      <c r="AD141">
        <f>IF(AND(ISNUMBER(Movimenti!$A123),Movimenti!$L123&lt;&gt;""),Movimenti!$A123,$B$32)</f>
        <v>45596.0</v>
      </c>
      <c r="AE141">
        <f>IF(Movimenti!$L123="",0,N(Movimenti!$L123))</f>
        <v>0</v>
      </c>
    </row>
    <row r="142">
      <c r="A142" t="n">
        <v>3</v>
      </c>
      <c r="B142">
        <f>IFERROR(SMALL($Z$7:$Z$21,A142)-6,"")</f>
        <v>3</v>
      </c>
      <c r="C142" t="str">
        <f>IF($B142="","",INDEX($A$7:$A$21,$B142))</f>
        <v>Titoli di Stato Euro</v>
      </c>
      <c r="D142">
        <f>IF($B142="","",INDEX($J$7:$J$21,$B142))</f>
        <v>4298.44</v>
      </c>
      <c r="E142">
        <f>IF($B142="","",INDEX($K$7:$K$21,$B142))</f>
        <v>0.25174926746588</v>
      </c>
      <c r="F142">
        <f>IF($B142="","",INDEX($M$7:$M$21,$B142))</f>
        <v>0.25</v>
      </c>
      <c r="G142">
        <f>IF($B142="","",INDEX($N$7:$N$21,$B142))</f>
        <v>0.00174926746588</v>
      </c>
      <c r="H142" t="str">
        <f>IF($B142="","",INDEX($W$7:$W$21,$B142))</f>
        <v>OK</v>
      </c>
      <c r="I142">
        <f>IF($B142="","",INDEX($C$117:$Q$117,$B142))</f>
        <v>104.84</v>
      </c>
      <c r="J142">
        <f>IF($B142="","",INDEX($C$116:$Q$116,$B142))</f>
        <v>1</v>
      </c>
      <c r="K142">
        <f>IF($B142="","",INDEX($C$118:$Q$118,$B142))</f>
        <v>0.252349833315281</v>
      </c>
      <c r="L142">
        <f>IF($B142="","",INDEX($C$119:$Q$119,$B142))</f>
        <v>0.00234983331528088</v>
      </c>
      <c r="M142">
        <f>IF($B142="","",INDEX($C$126:$Q$126,$B142))</f>
        <v>70.13</v>
      </c>
      <c r="N142">
        <f>IF($B142="","",INDEX($C$127:$Q$127,$B142))</f>
        <v>0.668924074780618</v>
      </c>
      <c r="O142">
        <f>IF($B142="","",INDEX($C$128:$Q$128,$B142))</f>
        <v>0</v>
      </c>
      <c r="P142">
        <f>IF($B142="","",INDEX($F$7:$F$21,$B142))</f>
        <v>41</v>
      </c>
      <c r="Q142">
        <f>IF($B142="","",INDEX($H$7:$H$21,$B142))</f>
        <v>100.885609756098</v>
      </c>
      <c r="R142">
        <f>IF($B142="","",INDEX($I$7:$I$21,$B142))</f>
        <v>104.84</v>
      </c>
      <c r="S142">
        <f>IF($B142="","",INDEX($R$7:$R$21,$B142))</f>
        <v>232.64</v>
      </c>
      <c r="T142">
        <f>IF($B142="","",INDEX($S$7:$S$21,$B142))</f>
        <v>0.0391967720020985</v>
      </c>
      <c r="U142">
        <f>IF($B142="","",INDEX($Q$7:$Q$21,$B142))</f>
        <v>70.51</v>
      </c>
      <c r="V142">
        <f>IF($B142="","",INDEX($T$7:$T$21,$B142))</f>
        <v>0.0015</v>
      </c>
      <c r="W142">
        <f>IF($B142="","",INDEX($U$7:$U$21,$B142))</f>
        <v>6.44766</v>
      </c>
      <c r="X142" t="str">
        <f>IF($B142="","",IF(INDEX(ETF!$D$7:$D$21,$B142)="","–",INDEX(ETF!$D$7:$D$21,$B142)))</f>
        <v>Obbligazionario</v>
      </c>
      <c r="Y142">
        <f>IF(N(I142)&gt;0.004,ROW(),"")</f>
        <v>142</v>
      </c>
      <c r="AD142">
        <f>IF(AND(ISNUMBER(Movimenti!$A124),Movimenti!$L124&lt;&gt;""),Movimenti!$A124,$B$32)</f>
        <v>45596.0</v>
      </c>
      <c r="AE142">
        <f>IF(Movimenti!$L124="",0,N(Movimenti!$L124))</f>
        <v>0</v>
      </c>
    </row>
    <row r="143">
      <c r="A143" t="n">
        <v>4</v>
      </c>
      <c r="B143">
        <f>IFERROR(SMALL($Z$7:$Z$21,A143)-6,"")</f>
        <v>4</v>
      </c>
      <c r="C143" t="str">
        <f>IF($B143="","",INDEX($A$7:$A$21,$B143))</f>
        <v>Oro</v>
      </c>
      <c r="D143">
        <f>IF($B143="","",INDEX($J$7:$J$21,$B143))</f>
        <v>1725.33</v>
      </c>
      <c r="E143">
        <f>IF($B143="","",INDEX($K$7:$K$21,$B143))</f>
        <v>0.101048418411542</v>
      </c>
      <c r="F143">
        <f>IF($B143="","",INDEX($M$7:$M$21,$B143))</f>
        <v>0.1</v>
      </c>
      <c r="G143">
        <f>IF($B143="","",INDEX($N$7:$N$21,$B143))</f>
        <v>0.00104841841154155</v>
      </c>
      <c r="H143" t="str">
        <f>IF($B143="","",INDEX($W$7:$W$21,$B143))</f>
        <v>OK</v>
      </c>
      <c r="I143">
        <f>IF($B143="","",INDEX($C$117:$Q$117,$B143))</f>
        <v>0</v>
      </c>
      <c r="J143">
        <f>IF($B143="","",INDEX($C$116:$Q$116,$B143))</f>
        <v>0</v>
      </c>
      <c r="K143">
        <f>IF($B143="","",INDEX($C$118:$Q$118,$B143))</f>
        <v>0.0988778224218886</v>
      </c>
      <c r="L143">
        <f>IF($B143="","",INDEX($C$119:$Q$119,$B143))</f>
        <v>-0.00112217757811145</v>
      </c>
      <c r="M143">
        <f>IF($B143="","",INDEX($C$126:$Q$126,$B143))</f>
        <v>22.1</v>
      </c>
      <c r="N143">
        <f>IF($B143="","",INDEX($C$127:$Q$127,$B143))</f>
        <v>0.217755443886097</v>
      </c>
      <c r="O143">
        <f>IF($B143="","",INDEX($C$128:$Q$128,$B143))</f>
        <v>0</v>
      </c>
      <c r="P143">
        <f>IF($B143="","",INDEX($F$7:$F$21,$B143))</f>
        <v>17</v>
      </c>
      <c r="Q143">
        <f>IF($B143="","",INDEX($H$7:$H$21,$B143))</f>
        <v>62.5541176470588</v>
      </c>
      <c r="R143">
        <f>IF($B143="","",INDEX($I$7:$I$21,$B143))</f>
        <v>101.49</v>
      </c>
      <c r="S143">
        <f>IF($B143="","",INDEX($R$7:$R$21,$B143))</f>
        <v>661.91</v>
      </c>
      <c r="T143">
        <f>IF($B143="","",INDEX($S$7:$S$21,$B143))</f>
        <v>0.622435162024412</v>
      </c>
      <c r="U143">
        <f>IF($B143="","",INDEX($Q$7:$Q$21,$B143))</f>
        <v>0</v>
      </c>
      <c r="V143">
        <f>IF($B143="","",INDEX($T$7:$T$21,$B143))</f>
        <v>0.0012</v>
      </c>
      <c r="W143">
        <f>IF($B143="","",INDEX($U$7:$U$21,$B143))</f>
        <v>2.070396</v>
      </c>
      <c r="X143" t="str">
        <f>IF($B143="","",IF(INDEX(ETF!$D$7:$D$21,$B143)="","–",INDEX(ETF!$D$7:$D$21,$B143)))</f>
        <v>Materie prime</v>
      </c>
      <c r="Y143" t="str">
        <f>IF(N(I143)&gt;0.004,ROW(),"")</f>
        <v/>
      </c>
      <c r="AD143">
        <f>IF(AND(ISNUMBER(Movimenti!$A125),Movimenti!$L125&lt;&gt;""),Movimenti!$A125,$B$32)</f>
        <v>45596.0</v>
      </c>
      <c r="AE143">
        <f>IF(Movimenti!$L125="",0,N(Movimenti!$L125))</f>
        <v>0</v>
      </c>
    </row>
    <row r="144">
      <c r="A144" t="n">
        <v>5</v>
      </c>
      <c r="B144" t="str">
        <f>IFERROR(SMALL($Z$7:$Z$21,A144)-6,"")</f>
        <v/>
      </c>
      <c r="C144" t="str">
        <f>IF($B144="","",INDEX($A$7:$A$21,$B144))</f>
        <v/>
      </c>
      <c r="D144" t="str">
        <f>IF($B144="","",INDEX($J$7:$J$21,$B144))</f>
        <v/>
      </c>
      <c r="E144" t="str">
        <f>IF($B144="","",INDEX($K$7:$K$21,$B144))</f>
        <v/>
      </c>
      <c r="F144" t="str">
        <f>IF($B144="","",INDEX($M$7:$M$21,$B144))</f>
        <v/>
      </c>
      <c r="G144" t="str">
        <f>IF($B144="","",INDEX($N$7:$N$21,$B144))</f>
        <v/>
      </c>
      <c r="H144" t="str">
        <f>IF($B144="","",INDEX($W$7:$W$21,$B144))</f>
        <v/>
      </c>
      <c r="I144" t="str">
        <f>IF($B144="","",INDEX($C$117:$Q$117,$B144))</f>
        <v/>
      </c>
      <c r="J144" t="str">
        <f>IF($B144="","",INDEX($C$116:$Q$116,$B144))</f>
        <v/>
      </c>
      <c r="K144" t="str">
        <f>IF($B144="","",INDEX($C$118:$Q$118,$B144))</f>
        <v/>
      </c>
      <c r="L144" t="str">
        <f>IF($B144="","",INDEX($C$119:$Q$119,$B144))</f>
        <v/>
      </c>
      <c r="M144" t="str">
        <f>IF($B144="","",INDEX($C$126:$Q$126,$B144))</f>
        <v/>
      </c>
      <c r="N144" t="str">
        <f>IF($B144="","",INDEX($C$127:$Q$127,$B144))</f>
        <v/>
      </c>
      <c r="O144" t="str">
        <f>IF($B144="","",INDEX($C$128:$Q$128,$B144))</f>
        <v/>
      </c>
      <c r="P144" t="str">
        <f>IF($B144="","",INDEX($F$7:$F$21,$B144))</f>
        <v/>
      </c>
      <c r="Q144" t="str">
        <f>IF($B144="","",INDEX($H$7:$H$21,$B144))</f>
        <v/>
      </c>
      <c r="R144" t="str">
        <f>IF($B144="","",INDEX($I$7:$I$21,$B144))</f>
        <v/>
      </c>
      <c r="S144" t="str">
        <f>IF($B144="","",INDEX($R$7:$R$21,$B144))</f>
        <v/>
      </c>
      <c r="T144" t="str">
        <f>IF($B144="","",INDEX($S$7:$S$21,$B144))</f>
        <v/>
      </c>
      <c r="U144" t="str">
        <f>IF($B144="","",INDEX($Q$7:$Q$21,$B144))</f>
        <v/>
      </c>
      <c r="V144" t="str">
        <f>IF($B144="","",INDEX($T$7:$T$21,$B144))</f>
        <v/>
      </c>
      <c r="W144" t="str">
        <f>IF($B144="","",INDEX($U$7:$U$21,$B144))</f>
        <v/>
      </c>
      <c r="X144" t="str">
        <f>IF($B144="","",IF(INDEX(ETF!$D$7:$D$21,$B144)="","–",INDEX(ETF!$D$7:$D$21,$B144)))</f>
        <v/>
      </c>
      <c r="Y144" t="str">
        <f>IF(N(I144)&gt;0.004,ROW(),"")</f>
        <v/>
      </c>
      <c r="AD144">
        <f>IF(AND(ISNUMBER(Movimenti!$A126),Movimenti!$L126&lt;&gt;""),Movimenti!$A126,$B$32)</f>
        <v>45596.0</v>
      </c>
      <c r="AE144">
        <f>IF(Movimenti!$L126="",0,N(Movimenti!$L126))</f>
        <v>0</v>
      </c>
    </row>
    <row r="145">
      <c r="A145" t="n">
        <v>6</v>
      </c>
      <c r="B145" t="str">
        <f>IFERROR(SMALL($Z$7:$Z$21,A145)-6,"")</f>
        <v/>
      </c>
      <c r="C145" t="str">
        <f>IF($B145="","",INDEX($A$7:$A$21,$B145))</f>
        <v/>
      </c>
      <c r="D145" t="str">
        <f>IF($B145="","",INDEX($J$7:$J$21,$B145))</f>
        <v/>
      </c>
      <c r="E145" t="str">
        <f>IF($B145="","",INDEX($K$7:$K$21,$B145))</f>
        <v/>
      </c>
      <c r="F145" t="str">
        <f>IF($B145="","",INDEX($M$7:$M$21,$B145))</f>
        <v/>
      </c>
      <c r="G145" t="str">
        <f>IF($B145="","",INDEX($N$7:$N$21,$B145))</f>
        <v/>
      </c>
      <c r="H145" t="str">
        <f>IF($B145="","",INDEX($W$7:$W$21,$B145))</f>
        <v/>
      </c>
      <c r="I145" t="str">
        <f>IF($B145="","",INDEX($C$117:$Q$117,$B145))</f>
        <v/>
      </c>
      <c r="J145" t="str">
        <f>IF($B145="","",INDEX($C$116:$Q$116,$B145))</f>
        <v/>
      </c>
      <c r="K145" t="str">
        <f>IF($B145="","",INDEX($C$118:$Q$118,$B145))</f>
        <v/>
      </c>
      <c r="L145" t="str">
        <f>IF($B145="","",INDEX($C$119:$Q$119,$B145))</f>
        <v/>
      </c>
      <c r="M145" t="str">
        <f>IF($B145="","",INDEX($C$126:$Q$126,$B145))</f>
        <v/>
      </c>
      <c r="N145" t="str">
        <f>IF($B145="","",INDEX($C$127:$Q$127,$B145))</f>
        <v/>
      </c>
      <c r="O145" t="str">
        <f>IF($B145="","",INDEX($C$128:$Q$128,$B145))</f>
        <v/>
      </c>
      <c r="P145" t="str">
        <f>IF($B145="","",INDEX($F$7:$F$21,$B145))</f>
        <v/>
      </c>
      <c r="Q145" t="str">
        <f>IF($B145="","",INDEX($H$7:$H$21,$B145))</f>
        <v/>
      </c>
      <c r="R145" t="str">
        <f>IF($B145="","",INDEX($I$7:$I$21,$B145))</f>
        <v/>
      </c>
      <c r="S145" t="str">
        <f>IF($B145="","",INDEX($R$7:$R$21,$B145))</f>
        <v/>
      </c>
      <c r="T145" t="str">
        <f>IF($B145="","",INDEX($S$7:$S$21,$B145))</f>
        <v/>
      </c>
      <c r="U145" t="str">
        <f>IF($B145="","",INDEX($Q$7:$Q$21,$B145))</f>
        <v/>
      </c>
      <c r="V145" t="str">
        <f>IF($B145="","",INDEX($T$7:$T$21,$B145))</f>
        <v/>
      </c>
      <c r="W145" t="str">
        <f>IF($B145="","",INDEX($U$7:$U$21,$B145))</f>
        <v/>
      </c>
      <c r="X145" t="str">
        <f>IF($B145="","",IF(INDEX(ETF!$D$7:$D$21,$B145)="","–",INDEX(ETF!$D$7:$D$21,$B145)))</f>
        <v/>
      </c>
      <c r="Y145" t="str">
        <f>IF(N(I145)&gt;0.004,ROW(),"")</f>
        <v/>
      </c>
      <c r="AD145">
        <f>IF(AND(ISNUMBER(Movimenti!$A127),Movimenti!$L127&lt;&gt;""),Movimenti!$A127,$B$32)</f>
        <v>45596.0</v>
      </c>
      <c r="AE145">
        <f>IF(Movimenti!$L127="",0,N(Movimenti!$L127))</f>
        <v>0</v>
      </c>
    </row>
    <row r="146">
      <c r="A146" t="n">
        <v>7</v>
      </c>
      <c r="B146" t="str">
        <f>IFERROR(SMALL($Z$7:$Z$21,A146)-6,"")</f>
        <v/>
      </c>
      <c r="C146" t="str">
        <f>IF($B146="","",INDEX($A$7:$A$21,$B146))</f>
        <v/>
      </c>
      <c r="D146" t="str">
        <f>IF($B146="","",INDEX($J$7:$J$21,$B146))</f>
        <v/>
      </c>
      <c r="E146" t="str">
        <f>IF($B146="","",INDEX($K$7:$K$21,$B146))</f>
        <v/>
      </c>
      <c r="F146" t="str">
        <f>IF($B146="","",INDEX($M$7:$M$21,$B146))</f>
        <v/>
      </c>
      <c r="G146" t="str">
        <f>IF($B146="","",INDEX($N$7:$N$21,$B146))</f>
        <v/>
      </c>
      <c r="H146" t="str">
        <f>IF($B146="","",INDEX($W$7:$W$21,$B146))</f>
        <v/>
      </c>
      <c r="I146" t="str">
        <f>IF($B146="","",INDEX($C$117:$Q$117,$B146))</f>
        <v/>
      </c>
      <c r="J146" t="str">
        <f>IF($B146="","",INDEX($C$116:$Q$116,$B146))</f>
        <v/>
      </c>
      <c r="K146" t="str">
        <f>IF($B146="","",INDEX($C$118:$Q$118,$B146))</f>
        <v/>
      </c>
      <c r="L146" t="str">
        <f>IF($B146="","",INDEX($C$119:$Q$119,$B146))</f>
        <v/>
      </c>
      <c r="M146" t="str">
        <f>IF($B146="","",INDEX($C$126:$Q$126,$B146))</f>
        <v/>
      </c>
      <c r="N146" t="str">
        <f>IF($B146="","",INDEX($C$127:$Q$127,$B146))</f>
        <v/>
      </c>
      <c r="O146" t="str">
        <f>IF($B146="","",INDEX($C$128:$Q$128,$B146))</f>
        <v/>
      </c>
      <c r="P146" t="str">
        <f>IF($B146="","",INDEX($F$7:$F$21,$B146))</f>
        <v/>
      </c>
      <c r="Q146" t="str">
        <f>IF($B146="","",INDEX($H$7:$H$21,$B146))</f>
        <v/>
      </c>
      <c r="R146" t="str">
        <f>IF($B146="","",INDEX($I$7:$I$21,$B146))</f>
        <v/>
      </c>
      <c r="S146" t="str">
        <f>IF($B146="","",INDEX($R$7:$R$21,$B146))</f>
        <v/>
      </c>
      <c r="T146" t="str">
        <f>IF($B146="","",INDEX($S$7:$S$21,$B146))</f>
        <v/>
      </c>
      <c r="U146" t="str">
        <f>IF($B146="","",INDEX($Q$7:$Q$21,$B146))</f>
        <v/>
      </c>
      <c r="V146" t="str">
        <f>IF($B146="","",INDEX($T$7:$T$21,$B146))</f>
        <v/>
      </c>
      <c r="W146" t="str">
        <f>IF($B146="","",INDEX($U$7:$U$21,$B146))</f>
        <v/>
      </c>
      <c r="X146" t="str">
        <f>IF($B146="","",IF(INDEX(ETF!$D$7:$D$21,$B146)="","–",INDEX(ETF!$D$7:$D$21,$B146)))</f>
        <v/>
      </c>
      <c r="Y146" t="str">
        <f>IF(N(I146)&gt;0.004,ROW(),"")</f>
        <v/>
      </c>
      <c r="AD146">
        <f>IF(AND(ISNUMBER(Movimenti!$A128),Movimenti!$L128&lt;&gt;""),Movimenti!$A128,$B$32)</f>
        <v>45596.0</v>
      </c>
      <c r="AE146">
        <f>IF(Movimenti!$L128="",0,N(Movimenti!$L128))</f>
        <v>0</v>
      </c>
    </row>
    <row r="147">
      <c r="A147" t="n">
        <v>8</v>
      </c>
      <c r="B147" t="str">
        <f>IFERROR(SMALL($Z$7:$Z$21,A147)-6,"")</f>
        <v/>
      </c>
      <c r="C147" t="str">
        <f>IF($B147="","",INDEX($A$7:$A$21,$B147))</f>
        <v/>
      </c>
      <c r="D147" t="str">
        <f>IF($B147="","",INDEX($J$7:$J$21,$B147))</f>
        <v/>
      </c>
      <c r="E147" t="str">
        <f>IF($B147="","",INDEX($K$7:$K$21,$B147))</f>
        <v/>
      </c>
      <c r="F147" t="str">
        <f>IF($B147="","",INDEX($M$7:$M$21,$B147))</f>
        <v/>
      </c>
      <c r="G147" t="str">
        <f>IF($B147="","",INDEX($N$7:$N$21,$B147))</f>
        <v/>
      </c>
      <c r="H147" t="str">
        <f>IF($B147="","",INDEX($W$7:$W$21,$B147))</f>
        <v/>
      </c>
      <c r="I147" t="str">
        <f>IF($B147="","",INDEX($C$117:$Q$117,$B147))</f>
        <v/>
      </c>
      <c r="J147" t="str">
        <f>IF($B147="","",INDEX($C$116:$Q$116,$B147))</f>
        <v/>
      </c>
      <c r="K147" t="str">
        <f>IF($B147="","",INDEX($C$118:$Q$118,$B147))</f>
        <v/>
      </c>
      <c r="L147" t="str">
        <f>IF($B147="","",INDEX($C$119:$Q$119,$B147))</f>
        <v/>
      </c>
      <c r="M147" t="str">
        <f>IF($B147="","",INDEX($C$126:$Q$126,$B147))</f>
        <v/>
      </c>
      <c r="N147" t="str">
        <f>IF($B147="","",INDEX($C$127:$Q$127,$B147))</f>
        <v/>
      </c>
      <c r="O147" t="str">
        <f>IF($B147="","",INDEX($C$128:$Q$128,$B147))</f>
        <v/>
      </c>
      <c r="P147" t="str">
        <f>IF($B147="","",INDEX($F$7:$F$21,$B147))</f>
        <v/>
      </c>
      <c r="Q147" t="str">
        <f>IF($B147="","",INDEX($H$7:$H$21,$B147))</f>
        <v/>
      </c>
      <c r="R147" t="str">
        <f>IF($B147="","",INDEX($I$7:$I$21,$B147))</f>
        <v/>
      </c>
      <c r="S147" t="str">
        <f>IF($B147="","",INDEX($R$7:$R$21,$B147))</f>
        <v/>
      </c>
      <c r="T147" t="str">
        <f>IF($B147="","",INDEX($S$7:$S$21,$B147))</f>
        <v/>
      </c>
      <c r="U147" t="str">
        <f>IF($B147="","",INDEX($Q$7:$Q$21,$B147))</f>
        <v/>
      </c>
      <c r="V147" t="str">
        <f>IF($B147="","",INDEX($T$7:$T$21,$B147))</f>
        <v/>
      </c>
      <c r="W147" t="str">
        <f>IF($B147="","",INDEX($U$7:$U$21,$B147))</f>
        <v/>
      </c>
      <c r="X147" t="str">
        <f>IF($B147="","",IF(INDEX(ETF!$D$7:$D$21,$B147)="","–",INDEX(ETF!$D$7:$D$21,$B147)))</f>
        <v/>
      </c>
      <c r="Y147" t="str">
        <f>IF(N(I147)&gt;0.004,ROW(),"")</f>
        <v/>
      </c>
      <c r="AD147">
        <f>IF(AND(ISNUMBER(Movimenti!$A129),Movimenti!$L129&lt;&gt;""),Movimenti!$A129,$B$32)</f>
        <v>45596.0</v>
      </c>
      <c r="AE147">
        <f>IF(Movimenti!$L129="",0,N(Movimenti!$L129))</f>
        <v>0</v>
      </c>
    </row>
    <row r="148">
      <c r="A148" t="n">
        <v>9</v>
      </c>
      <c r="B148" t="str">
        <f>IFERROR(SMALL($Z$7:$Z$21,A148)-6,"")</f>
        <v/>
      </c>
      <c r="C148" t="str">
        <f>IF($B148="","",INDEX($A$7:$A$21,$B148))</f>
        <v/>
      </c>
      <c r="D148" t="str">
        <f>IF($B148="","",INDEX($J$7:$J$21,$B148))</f>
        <v/>
      </c>
      <c r="E148" t="str">
        <f>IF($B148="","",INDEX($K$7:$K$21,$B148))</f>
        <v/>
      </c>
      <c r="F148" t="str">
        <f>IF($B148="","",INDEX($M$7:$M$21,$B148))</f>
        <v/>
      </c>
      <c r="G148" t="str">
        <f>IF($B148="","",INDEX($N$7:$N$21,$B148))</f>
        <v/>
      </c>
      <c r="H148" t="str">
        <f>IF($B148="","",INDEX($W$7:$W$21,$B148))</f>
        <v/>
      </c>
      <c r="I148" t="str">
        <f>IF($B148="","",INDEX($C$117:$Q$117,$B148))</f>
        <v/>
      </c>
      <c r="J148" t="str">
        <f>IF($B148="","",INDEX($C$116:$Q$116,$B148))</f>
        <v/>
      </c>
      <c r="K148" t="str">
        <f>IF($B148="","",INDEX($C$118:$Q$118,$B148))</f>
        <v/>
      </c>
      <c r="L148" t="str">
        <f>IF($B148="","",INDEX($C$119:$Q$119,$B148))</f>
        <v/>
      </c>
      <c r="M148" t="str">
        <f>IF($B148="","",INDEX($C$126:$Q$126,$B148))</f>
        <v/>
      </c>
      <c r="N148" t="str">
        <f>IF($B148="","",INDEX($C$127:$Q$127,$B148))</f>
        <v/>
      </c>
      <c r="O148" t="str">
        <f>IF($B148="","",INDEX($C$128:$Q$128,$B148))</f>
        <v/>
      </c>
      <c r="P148" t="str">
        <f>IF($B148="","",INDEX($F$7:$F$21,$B148))</f>
        <v/>
      </c>
      <c r="Q148" t="str">
        <f>IF($B148="","",INDEX($H$7:$H$21,$B148))</f>
        <v/>
      </c>
      <c r="R148" t="str">
        <f>IF($B148="","",INDEX($I$7:$I$21,$B148))</f>
        <v/>
      </c>
      <c r="S148" t="str">
        <f>IF($B148="","",INDEX($R$7:$R$21,$B148))</f>
        <v/>
      </c>
      <c r="T148" t="str">
        <f>IF($B148="","",INDEX($S$7:$S$21,$B148))</f>
        <v/>
      </c>
      <c r="U148" t="str">
        <f>IF($B148="","",INDEX($Q$7:$Q$21,$B148))</f>
        <v/>
      </c>
      <c r="V148" t="str">
        <f>IF($B148="","",INDEX($T$7:$T$21,$B148))</f>
        <v/>
      </c>
      <c r="W148" t="str">
        <f>IF($B148="","",INDEX($U$7:$U$21,$B148))</f>
        <v/>
      </c>
      <c r="X148" t="str">
        <f>IF($B148="","",IF(INDEX(ETF!$D$7:$D$21,$B148)="","–",INDEX(ETF!$D$7:$D$21,$B148)))</f>
        <v/>
      </c>
      <c r="Y148" t="str">
        <f>IF(N(I148)&gt;0.004,ROW(),"")</f>
        <v/>
      </c>
      <c r="AD148">
        <f>IF(AND(ISNUMBER(Movimenti!$A130),Movimenti!$L130&lt;&gt;""),Movimenti!$A130,$B$32)</f>
        <v>45596.0</v>
      </c>
      <c r="AE148">
        <f>IF(Movimenti!$L130="",0,N(Movimenti!$L130))</f>
        <v>0</v>
      </c>
    </row>
    <row r="149">
      <c r="A149" t="n">
        <v>10</v>
      </c>
      <c r="B149" t="str">
        <f>IFERROR(SMALL($Z$7:$Z$21,A149)-6,"")</f>
        <v/>
      </c>
      <c r="C149" t="str">
        <f>IF($B149="","",INDEX($A$7:$A$21,$B149))</f>
        <v/>
      </c>
      <c r="D149" t="str">
        <f>IF($B149="","",INDEX($J$7:$J$21,$B149))</f>
        <v/>
      </c>
      <c r="E149" t="str">
        <f>IF($B149="","",INDEX($K$7:$K$21,$B149))</f>
        <v/>
      </c>
      <c r="F149" t="str">
        <f>IF($B149="","",INDEX($M$7:$M$21,$B149))</f>
        <v/>
      </c>
      <c r="G149" t="str">
        <f>IF($B149="","",INDEX($N$7:$N$21,$B149))</f>
        <v/>
      </c>
      <c r="H149" t="str">
        <f>IF($B149="","",INDEX($W$7:$W$21,$B149))</f>
        <v/>
      </c>
      <c r="I149" t="str">
        <f>IF($B149="","",INDEX($C$117:$Q$117,$B149))</f>
        <v/>
      </c>
      <c r="J149" t="str">
        <f>IF($B149="","",INDEX($C$116:$Q$116,$B149))</f>
        <v/>
      </c>
      <c r="K149" t="str">
        <f>IF($B149="","",INDEX($C$118:$Q$118,$B149))</f>
        <v/>
      </c>
      <c r="L149" t="str">
        <f>IF($B149="","",INDEX($C$119:$Q$119,$B149))</f>
        <v/>
      </c>
      <c r="M149" t="str">
        <f>IF($B149="","",INDEX($C$126:$Q$126,$B149))</f>
        <v/>
      </c>
      <c r="N149" t="str">
        <f>IF($B149="","",INDEX($C$127:$Q$127,$B149))</f>
        <v/>
      </c>
      <c r="O149" t="str">
        <f>IF($B149="","",INDEX($C$128:$Q$128,$B149))</f>
        <v/>
      </c>
      <c r="P149" t="str">
        <f>IF($B149="","",INDEX($F$7:$F$21,$B149))</f>
        <v/>
      </c>
      <c r="Q149" t="str">
        <f>IF($B149="","",INDEX($H$7:$H$21,$B149))</f>
        <v/>
      </c>
      <c r="R149" t="str">
        <f>IF($B149="","",INDEX($I$7:$I$21,$B149))</f>
        <v/>
      </c>
      <c r="S149" t="str">
        <f>IF($B149="","",INDEX($R$7:$R$21,$B149))</f>
        <v/>
      </c>
      <c r="T149" t="str">
        <f>IF($B149="","",INDEX($S$7:$S$21,$B149))</f>
        <v/>
      </c>
      <c r="U149" t="str">
        <f>IF($B149="","",INDEX($Q$7:$Q$21,$B149))</f>
        <v/>
      </c>
      <c r="V149" t="str">
        <f>IF($B149="","",INDEX($T$7:$T$21,$B149))</f>
        <v/>
      </c>
      <c r="W149" t="str">
        <f>IF($B149="","",INDEX($U$7:$U$21,$B149))</f>
        <v/>
      </c>
      <c r="X149" t="str">
        <f>IF($B149="","",IF(INDEX(ETF!$D$7:$D$21,$B149)="","–",INDEX(ETF!$D$7:$D$21,$B149)))</f>
        <v/>
      </c>
      <c r="Y149" t="str">
        <f>IF(N(I149)&gt;0.004,ROW(),"")</f>
        <v/>
      </c>
      <c r="AD149">
        <f>IF(AND(ISNUMBER(Movimenti!$A131),Movimenti!$L131&lt;&gt;""),Movimenti!$A131,$B$32)</f>
        <v>45596.0</v>
      </c>
      <c r="AE149">
        <f>IF(Movimenti!$L131="",0,N(Movimenti!$L131))</f>
        <v>0</v>
      </c>
    </row>
    <row r="150">
      <c r="A150" t="n">
        <v>11</v>
      </c>
      <c r="B150" t="str">
        <f>IFERROR(SMALL($Z$7:$Z$21,A150)-6,"")</f>
        <v/>
      </c>
      <c r="C150" t="str">
        <f>IF($B150="","",INDEX($A$7:$A$21,$B150))</f>
        <v/>
      </c>
      <c r="D150" t="str">
        <f>IF($B150="","",INDEX($J$7:$J$21,$B150))</f>
        <v/>
      </c>
      <c r="E150" t="str">
        <f>IF($B150="","",INDEX($K$7:$K$21,$B150))</f>
        <v/>
      </c>
      <c r="F150" t="str">
        <f>IF($B150="","",INDEX($M$7:$M$21,$B150))</f>
        <v/>
      </c>
      <c r="G150" t="str">
        <f>IF($B150="","",INDEX($N$7:$N$21,$B150))</f>
        <v/>
      </c>
      <c r="H150" t="str">
        <f>IF($B150="","",INDEX($W$7:$W$21,$B150))</f>
        <v/>
      </c>
      <c r="I150" t="str">
        <f>IF($B150="","",INDEX($C$117:$Q$117,$B150))</f>
        <v/>
      </c>
      <c r="J150" t="str">
        <f>IF($B150="","",INDEX($C$116:$Q$116,$B150))</f>
        <v/>
      </c>
      <c r="K150" t="str">
        <f>IF($B150="","",INDEX($C$118:$Q$118,$B150))</f>
        <v/>
      </c>
      <c r="L150" t="str">
        <f>IF($B150="","",INDEX($C$119:$Q$119,$B150))</f>
        <v/>
      </c>
      <c r="M150" t="str">
        <f>IF($B150="","",INDEX($C$126:$Q$126,$B150))</f>
        <v/>
      </c>
      <c r="N150" t="str">
        <f>IF($B150="","",INDEX($C$127:$Q$127,$B150))</f>
        <v/>
      </c>
      <c r="O150" t="str">
        <f>IF($B150="","",INDEX($C$128:$Q$128,$B150))</f>
        <v/>
      </c>
      <c r="P150" t="str">
        <f>IF($B150="","",INDEX($F$7:$F$21,$B150))</f>
        <v/>
      </c>
      <c r="Q150" t="str">
        <f>IF($B150="","",INDEX($H$7:$H$21,$B150))</f>
        <v/>
      </c>
      <c r="R150" t="str">
        <f>IF($B150="","",INDEX($I$7:$I$21,$B150))</f>
        <v/>
      </c>
      <c r="S150" t="str">
        <f>IF($B150="","",INDEX($R$7:$R$21,$B150))</f>
        <v/>
      </c>
      <c r="T150" t="str">
        <f>IF($B150="","",INDEX($S$7:$S$21,$B150))</f>
        <v/>
      </c>
      <c r="U150" t="str">
        <f>IF($B150="","",INDEX($Q$7:$Q$21,$B150))</f>
        <v/>
      </c>
      <c r="V150" t="str">
        <f>IF($B150="","",INDEX($T$7:$T$21,$B150))</f>
        <v/>
      </c>
      <c r="W150" t="str">
        <f>IF($B150="","",INDEX($U$7:$U$21,$B150))</f>
        <v/>
      </c>
      <c r="X150" t="str">
        <f>IF($B150="","",IF(INDEX(ETF!$D$7:$D$21,$B150)="","–",INDEX(ETF!$D$7:$D$21,$B150)))</f>
        <v/>
      </c>
      <c r="Y150" t="str">
        <f>IF(N(I150)&gt;0.004,ROW(),"")</f>
        <v/>
      </c>
      <c r="AD150">
        <f>IF(AND(ISNUMBER(Movimenti!$A132),Movimenti!$L132&lt;&gt;""),Movimenti!$A132,$B$32)</f>
        <v>45596.0</v>
      </c>
      <c r="AE150">
        <f>IF(Movimenti!$L132="",0,N(Movimenti!$L132))</f>
        <v>0</v>
      </c>
    </row>
    <row r="151">
      <c r="A151" t="n">
        <v>12</v>
      </c>
      <c r="B151" t="str">
        <f>IFERROR(SMALL($Z$7:$Z$21,A151)-6,"")</f>
        <v/>
      </c>
      <c r="C151" t="str">
        <f>IF($B151="","",INDEX($A$7:$A$21,$B151))</f>
        <v/>
      </c>
      <c r="D151" t="str">
        <f>IF($B151="","",INDEX($J$7:$J$21,$B151))</f>
        <v/>
      </c>
      <c r="E151" t="str">
        <f>IF($B151="","",INDEX($K$7:$K$21,$B151))</f>
        <v/>
      </c>
      <c r="F151" t="str">
        <f>IF($B151="","",INDEX($M$7:$M$21,$B151))</f>
        <v/>
      </c>
      <c r="G151" t="str">
        <f>IF($B151="","",INDEX($N$7:$N$21,$B151))</f>
        <v/>
      </c>
      <c r="H151" t="str">
        <f>IF($B151="","",INDEX($W$7:$W$21,$B151))</f>
        <v/>
      </c>
      <c r="I151" t="str">
        <f>IF($B151="","",INDEX($C$117:$Q$117,$B151))</f>
        <v/>
      </c>
      <c r="J151" t="str">
        <f>IF($B151="","",INDEX($C$116:$Q$116,$B151))</f>
        <v/>
      </c>
      <c r="K151" t="str">
        <f>IF($B151="","",INDEX($C$118:$Q$118,$B151))</f>
        <v/>
      </c>
      <c r="L151" t="str">
        <f>IF($B151="","",INDEX($C$119:$Q$119,$B151))</f>
        <v/>
      </c>
      <c r="M151" t="str">
        <f>IF($B151="","",INDEX($C$126:$Q$126,$B151))</f>
        <v/>
      </c>
      <c r="N151" t="str">
        <f>IF($B151="","",INDEX($C$127:$Q$127,$B151))</f>
        <v/>
      </c>
      <c r="O151" t="str">
        <f>IF($B151="","",INDEX($C$128:$Q$128,$B151))</f>
        <v/>
      </c>
      <c r="P151" t="str">
        <f>IF($B151="","",INDEX($F$7:$F$21,$B151))</f>
        <v/>
      </c>
      <c r="Q151" t="str">
        <f>IF($B151="","",INDEX($H$7:$H$21,$B151))</f>
        <v/>
      </c>
      <c r="R151" t="str">
        <f>IF($B151="","",INDEX($I$7:$I$21,$B151))</f>
        <v/>
      </c>
      <c r="S151" t="str">
        <f>IF($B151="","",INDEX($R$7:$R$21,$B151))</f>
        <v/>
      </c>
      <c r="T151" t="str">
        <f>IF($B151="","",INDEX($S$7:$S$21,$B151))</f>
        <v/>
      </c>
      <c r="U151" t="str">
        <f>IF($B151="","",INDEX($Q$7:$Q$21,$B151))</f>
        <v/>
      </c>
      <c r="V151" t="str">
        <f>IF($B151="","",INDEX($T$7:$T$21,$B151))</f>
        <v/>
      </c>
      <c r="W151" t="str">
        <f>IF($B151="","",INDEX($U$7:$U$21,$B151))</f>
        <v/>
      </c>
      <c r="X151" t="str">
        <f>IF($B151="","",IF(INDEX(ETF!$D$7:$D$21,$B151)="","–",INDEX(ETF!$D$7:$D$21,$B151)))</f>
        <v/>
      </c>
      <c r="Y151" t="str">
        <f>IF(N(I151)&gt;0.004,ROW(),"")</f>
        <v/>
      </c>
      <c r="AD151">
        <f>IF(AND(ISNUMBER(Movimenti!$A133),Movimenti!$L133&lt;&gt;""),Movimenti!$A133,$B$32)</f>
        <v>45596.0</v>
      </c>
      <c r="AE151">
        <f>IF(Movimenti!$L133="",0,N(Movimenti!$L133))</f>
        <v>0</v>
      </c>
    </row>
    <row r="152">
      <c r="A152" t="n">
        <v>13</v>
      </c>
      <c r="B152" t="str">
        <f>IFERROR(SMALL($Z$7:$Z$21,A152)-6,"")</f>
        <v/>
      </c>
      <c r="C152" t="str">
        <f>IF($B152="","",INDEX($A$7:$A$21,$B152))</f>
        <v/>
      </c>
      <c r="D152" t="str">
        <f>IF($B152="","",INDEX($J$7:$J$21,$B152))</f>
        <v/>
      </c>
      <c r="E152" t="str">
        <f>IF($B152="","",INDEX($K$7:$K$21,$B152))</f>
        <v/>
      </c>
      <c r="F152" t="str">
        <f>IF($B152="","",INDEX($M$7:$M$21,$B152))</f>
        <v/>
      </c>
      <c r="G152" t="str">
        <f>IF($B152="","",INDEX($N$7:$N$21,$B152))</f>
        <v/>
      </c>
      <c r="H152" t="str">
        <f>IF($B152="","",INDEX($W$7:$W$21,$B152))</f>
        <v/>
      </c>
      <c r="I152" t="str">
        <f>IF($B152="","",INDEX($C$117:$Q$117,$B152))</f>
        <v/>
      </c>
      <c r="J152" t="str">
        <f>IF($B152="","",INDEX($C$116:$Q$116,$B152))</f>
        <v/>
      </c>
      <c r="K152" t="str">
        <f>IF($B152="","",INDEX($C$118:$Q$118,$B152))</f>
        <v/>
      </c>
      <c r="L152" t="str">
        <f>IF($B152="","",INDEX($C$119:$Q$119,$B152))</f>
        <v/>
      </c>
      <c r="M152" t="str">
        <f>IF($B152="","",INDEX($C$126:$Q$126,$B152))</f>
        <v/>
      </c>
      <c r="N152" t="str">
        <f>IF($B152="","",INDEX($C$127:$Q$127,$B152))</f>
        <v/>
      </c>
      <c r="O152" t="str">
        <f>IF($B152="","",INDEX($C$128:$Q$128,$B152))</f>
        <v/>
      </c>
      <c r="P152" t="str">
        <f>IF($B152="","",INDEX($F$7:$F$21,$B152))</f>
        <v/>
      </c>
      <c r="Q152" t="str">
        <f>IF($B152="","",INDEX($H$7:$H$21,$B152))</f>
        <v/>
      </c>
      <c r="R152" t="str">
        <f>IF($B152="","",INDEX($I$7:$I$21,$B152))</f>
        <v/>
      </c>
      <c r="S152" t="str">
        <f>IF($B152="","",INDEX($R$7:$R$21,$B152))</f>
        <v/>
      </c>
      <c r="T152" t="str">
        <f>IF($B152="","",INDEX($S$7:$S$21,$B152))</f>
        <v/>
      </c>
      <c r="U152" t="str">
        <f>IF($B152="","",INDEX($Q$7:$Q$21,$B152))</f>
        <v/>
      </c>
      <c r="V152" t="str">
        <f>IF($B152="","",INDEX($T$7:$T$21,$B152))</f>
        <v/>
      </c>
      <c r="W152" t="str">
        <f>IF($B152="","",INDEX($U$7:$U$21,$B152))</f>
        <v/>
      </c>
      <c r="X152" t="str">
        <f>IF($B152="","",IF(INDEX(ETF!$D$7:$D$21,$B152)="","–",INDEX(ETF!$D$7:$D$21,$B152)))</f>
        <v/>
      </c>
      <c r="Y152" t="str">
        <f>IF(N(I152)&gt;0.004,ROW(),"")</f>
        <v/>
      </c>
      <c r="AD152">
        <f>IF(AND(ISNUMBER(Movimenti!$A134),Movimenti!$L134&lt;&gt;""),Movimenti!$A134,$B$32)</f>
        <v>45596.0</v>
      </c>
      <c r="AE152">
        <f>IF(Movimenti!$L134="",0,N(Movimenti!$L134))</f>
        <v>0</v>
      </c>
    </row>
    <row r="153">
      <c r="A153" t="n">
        <v>14</v>
      </c>
      <c r="B153" t="str">
        <f>IFERROR(SMALL($Z$7:$Z$21,A153)-6,"")</f>
        <v/>
      </c>
      <c r="C153" t="str">
        <f>IF($B153="","",INDEX($A$7:$A$21,$B153))</f>
        <v/>
      </c>
      <c r="D153" t="str">
        <f>IF($B153="","",INDEX($J$7:$J$21,$B153))</f>
        <v/>
      </c>
      <c r="E153" t="str">
        <f>IF($B153="","",INDEX($K$7:$K$21,$B153))</f>
        <v/>
      </c>
      <c r="F153" t="str">
        <f>IF($B153="","",INDEX($M$7:$M$21,$B153))</f>
        <v/>
      </c>
      <c r="G153" t="str">
        <f>IF($B153="","",INDEX($N$7:$N$21,$B153))</f>
        <v/>
      </c>
      <c r="H153" t="str">
        <f>IF($B153="","",INDEX($W$7:$W$21,$B153))</f>
        <v/>
      </c>
      <c r="I153" t="str">
        <f>IF($B153="","",INDEX($C$117:$Q$117,$B153))</f>
        <v/>
      </c>
      <c r="J153" t="str">
        <f>IF($B153="","",INDEX($C$116:$Q$116,$B153))</f>
        <v/>
      </c>
      <c r="K153" t="str">
        <f>IF($B153="","",INDEX($C$118:$Q$118,$B153))</f>
        <v/>
      </c>
      <c r="L153" t="str">
        <f>IF($B153="","",INDEX($C$119:$Q$119,$B153))</f>
        <v/>
      </c>
      <c r="M153" t="str">
        <f>IF($B153="","",INDEX($C$126:$Q$126,$B153))</f>
        <v/>
      </c>
      <c r="N153" t="str">
        <f>IF($B153="","",INDEX($C$127:$Q$127,$B153))</f>
        <v/>
      </c>
      <c r="O153" t="str">
        <f>IF($B153="","",INDEX($C$128:$Q$128,$B153))</f>
        <v/>
      </c>
      <c r="P153" t="str">
        <f>IF($B153="","",INDEX($F$7:$F$21,$B153))</f>
        <v/>
      </c>
      <c r="Q153" t="str">
        <f>IF($B153="","",INDEX($H$7:$H$21,$B153))</f>
        <v/>
      </c>
      <c r="R153" t="str">
        <f>IF($B153="","",INDEX($I$7:$I$21,$B153))</f>
        <v/>
      </c>
      <c r="S153" t="str">
        <f>IF($B153="","",INDEX($R$7:$R$21,$B153))</f>
        <v/>
      </c>
      <c r="T153" t="str">
        <f>IF($B153="","",INDEX($S$7:$S$21,$B153))</f>
        <v/>
      </c>
      <c r="U153" t="str">
        <f>IF($B153="","",INDEX($Q$7:$Q$21,$B153))</f>
        <v/>
      </c>
      <c r="V153" t="str">
        <f>IF($B153="","",INDEX($T$7:$T$21,$B153))</f>
        <v/>
      </c>
      <c r="W153" t="str">
        <f>IF($B153="","",INDEX($U$7:$U$21,$B153))</f>
        <v/>
      </c>
      <c r="X153" t="str">
        <f>IF($B153="","",IF(INDEX(ETF!$D$7:$D$21,$B153)="","–",INDEX(ETF!$D$7:$D$21,$B153)))</f>
        <v/>
      </c>
      <c r="Y153" t="str">
        <f>IF(N(I153)&gt;0.004,ROW(),"")</f>
        <v/>
      </c>
      <c r="AD153">
        <f>IF(AND(ISNUMBER(Movimenti!$A135),Movimenti!$L135&lt;&gt;""),Movimenti!$A135,$B$32)</f>
        <v>45596.0</v>
      </c>
      <c r="AE153">
        <f>IF(Movimenti!$L135="",0,N(Movimenti!$L135))</f>
        <v>0</v>
      </c>
    </row>
    <row r="154">
      <c r="A154" t="n">
        <v>15</v>
      </c>
      <c r="B154" t="str">
        <f>IFERROR(SMALL($Z$7:$Z$21,A154)-6,"")</f>
        <v/>
      </c>
      <c r="C154" t="str">
        <f>IF($B154="","",INDEX($A$7:$A$21,$B154))</f>
        <v/>
      </c>
      <c r="D154" t="str">
        <f>IF($B154="","",INDEX($J$7:$J$21,$B154))</f>
        <v/>
      </c>
      <c r="E154" t="str">
        <f>IF($B154="","",INDEX($K$7:$K$21,$B154))</f>
        <v/>
      </c>
      <c r="F154" t="str">
        <f>IF($B154="","",INDEX($M$7:$M$21,$B154))</f>
        <v/>
      </c>
      <c r="G154" t="str">
        <f>IF($B154="","",INDEX($N$7:$N$21,$B154))</f>
        <v/>
      </c>
      <c r="H154" t="str">
        <f>IF($B154="","",INDEX($W$7:$W$21,$B154))</f>
        <v/>
      </c>
      <c r="I154" t="str">
        <f>IF($B154="","",INDEX($C$117:$Q$117,$B154))</f>
        <v/>
      </c>
      <c r="J154" t="str">
        <f>IF($B154="","",INDEX($C$116:$Q$116,$B154))</f>
        <v/>
      </c>
      <c r="K154" t="str">
        <f>IF($B154="","",INDEX($C$118:$Q$118,$B154))</f>
        <v/>
      </c>
      <c r="L154" t="str">
        <f>IF($B154="","",INDEX($C$119:$Q$119,$B154))</f>
        <v/>
      </c>
      <c r="M154" t="str">
        <f>IF($B154="","",INDEX($C$126:$Q$126,$B154))</f>
        <v/>
      </c>
      <c r="N154" t="str">
        <f>IF($B154="","",INDEX($C$127:$Q$127,$B154))</f>
        <v/>
      </c>
      <c r="O154" t="str">
        <f>IF($B154="","",INDEX($C$128:$Q$128,$B154))</f>
        <v/>
      </c>
      <c r="P154" t="str">
        <f>IF($B154="","",INDEX($F$7:$F$21,$B154))</f>
        <v/>
      </c>
      <c r="Q154" t="str">
        <f>IF($B154="","",INDEX($H$7:$H$21,$B154))</f>
        <v/>
      </c>
      <c r="R154" t="str">
        <f>IF($B154="","",INDEX($I$7:$I$21,$B154))</f>
        <v/>
      </c>
      <c r="S154" t="str">
        <f>IF($B154="","",INDEX($R$7:$R$21,$B154))</f>
        <v/>
      </c>
      <c r="T154" t="str">
        <f>IF($B154="","",INDEX($S$7:$S$21,$B154))</f>
        <v/>
      </c>
      <c r="U154" t="str">
        <f>IF($B154="","",INDEX($Q$7:$Q$21,$B154))</f>
        <v/>
      </c>
      <c r="V154" t="str">
        <f>IF($B154="","",INDEX($T$7:$T$21,$B154))</f>
        <v/>
      </c>
      <c r="W154" t="str">
        <f>IF($B154="","",INDEX($U$7:$U$21,$B154))</f>
        <v/>
      </c>
      <c r="X154" t="str">
        <f>IF($B154="","",IF(INDEX(ETF!$D$7:$D$21,$B154)="","–",INDEX(ETF!$D$7:$D$21,$B154)))</f>
        <v/>
      </c>
      <c r="Y154" t="str">
        <f>IF(N(I154)&gt;0.004,ROW(),"")</f>
        <v/>
      </c>
      <c r="AD154">
        <f>IF(AND(ISNUMBER(Movimenti!$A136),Movimenti!$L136&lt;&gt;""),Movimenti!$A136,$B$32)</f>
        <v>45596.0</v>
      </c>
      <c r="AE154">
        <f>IF(Movimenti!$L136="",0,N(Movimenti!$L136))</f>
        <v>0</v>
      </c>
    </row>
    <row r="155">
      <c r="AD155">
        <f>IF(AND(ISNUMBER(Movimenti!$A137),Movimenti!$L137&lt;&gt;""),Movimenti!$A137,$B$32)</f>
        <v>45596.0</v>
      </c>
      <c r="AE155">
        <f>IF(Movimenti!$L137="",0,N(Movimenti!$L137))</f>
        <v>0</v>
      </c>
    </row>
    <row r="156">
      <c r="A156" t="inlineStr">
        <is>
          <t>Cosa comprare</t>
        </is>
      </c>
      <c r="AD156">
        <f>IF(AND(ISNUMBER(Movimenti!$A138),Movimenti!$L138&lt;&gt;""),Movimenti!$A138,$B$32)</f>
        <v>45596.0</v>
      </c>
      <c r="AE156">
        <f>IF(Movimenti!$L138="",0,N(Movimenti!$L138))</f>
        <v>0</v>
      </c>
    </row>
    <row r="157">
      <c r="A157" t="str">
        <f>IFERROR(INDEX($C$1:$C$155,SMALL($Y$140:$Y$154,1)),"")</f>
        <v>Azionario Mondo</v>
      </c>
      <c r="B157">
        <f>IFERROR(INDEX($I$1:$I$155,SMALL($Y$140:$Y$154,1)),"")</f>
        <v>226.08</v>
      </c>
      <c r="C157">
        <f>IFERROR(INDEX($J$1:$J$155,SMALL($Y$140:$Y$154,1)),"")</f>
        <v>2</v>
      </c>
      <c r="AD157">
        <f>IF(AND(ISNUMBER(Movimenti!$A139),Movimenti!$L139&lt;&gt;""),Movimenti!$A139,$B$32)</f>
        <v>45596.0</v>
      </c>
      <c r="AE157">
        <f>IF(Movimenti!$L139="",0,N(Movimenti!$L139))</f>
        <v>0</v>
      </c>
    </row>
    <row r="158">
      <c r="A158" t="str">
        <f>IFERROR(INDEX($C$1:$C$155,SMALL($Y$140:$Y$154,2)),"")</f>
        <v>Azionario Emergenti</v>
      </c>
      <c r="B158">
        <f>IFERROR(INDEX($I$1:$I$155,SMALL($Y$140:$Y$154,2)),"")</f>
        <v>43.9</v>
      </c>
      <c r="C158">
        <f>IFERROR(INDEX($J$1:$J$155,SMALL($Y$140:$Y$154,2)),"")</f>
        <v>1</v>
      </c>
      <c r="AD158">
        <f>IF(AND(ISNUMBER(Movimenti!$A140),Movimenti!$L140&lt;&gt;""),Movimenti!$A140,$B$32)</f>
        <v>45596.0</v>
      </c>
      <c r="AE158">
        <f>IF(Movimenti!$L140="",0,N(Movimenti!$L140))</f>
        <v>0</v>
      </c>
    </row>
    <row r="159">
      <c r="A159" t="str">
        <f>IFERROR(INDEX($C$1:$C$155,SMALL($Y$140:$Y$154,3)),"")</f>
        <v>Titoli di Stato Euro</v>
      </c>
      <c r="B159">
        <f>IFERROR(INDEX($I$1:$I$155,SMALL($Y$140:$Y$154,3)),"")</f>
        <v>104.84</v>
      </c>
      <c r="C159">
        <f>IFERROR(INDEX($J$1:$J$155,SMALL($Y$140:$Y$154,3)),"")</f>
        <v>1</v>
      </c>
      <c r="AD159">
        <f>IF(AND(ISNUMBER(Movimenti!$A141),Movimenti!$L141&lt;&gt;""),Movimenti!$A141,$B$32)</f>
        <v>45596.0</v>
      </c>
      <c r="AE159">
        <f>IF(Movimenti!$L141="",0,N(Movimenti!$L141))</f>
        <v>0</v>
      </c>
    </row>
    <row r="160">
      <c r="A160" t="str">
        <f>IFERROR(INDEX($C$1:$C$155,SMALL($Y$140:$Y$154,4)),"")</f>
        <v/>
      </c>
      <c r="B160" t="str">
        <f>IFERROR(INDEX($I$1:$I$155,SMALL($Y$140:$Y$154,4)),"")</f>
        <v/>
      </c>
      <c r="C160" t="str">
        <f>IFERROR(INDEX($J$1:$J$155,SMALL($Y$140:$Y$154,4)),"")</f>
        <v/>
      </c>
      <c r="AD160">
        <f>IF(AND(ISNUMBER(Movimenti!$A142),Movimenti!$L142&lt;&gt;""),Movimenti!$A142,$B$32)</f>
        <v>45596.0</v>
      </c>
      <c r="AE160">
        <f>IF(Movimenti!$L142="",0,N(Movimenti!$L142))</f>
        <v>0</v>
      </c>
    </row>
    <row r="161">
      <c r="A161" t="str">
        <f>IFERROR(INDEX($C$1:$C$155,SMALL($Y$140:$Y$154,5)),"")</f>
        <v/>
      </c>
      <c r="B161" t="str">
        <f>IFERROR(INDEX($I$1:$I$155,SMALL($Y$140:$Y$154,5)),"")</f>
        <v/>
      </c>
      <c r="C161" t="str">
        <f>IFERROR(INDEX($J$1:$J$155,SMALL($Y$140:$Y$154,5)),"")</f>
        <v/>
      </c>
      <c r="AD161">
        <f>IF(AND(ISNUMBER(Movimenti!$A143),Movimenti!$L143&lt;&gt;""),Movimenti!$A143,$B$32)</f>
        <v>45596.0</v>
      </c>
      <c r="AE161">
        <f>IF(Movimenti!$L143="",0,N(Movimenti!$L143))</f>
        <v>0</v>
      </c>
    </row>
    <row r="162">
      <c r="A162" t="str">
        <f>IFERROR(INDEX($C$1:$C$155,SMALL($Y$140:$Y$154,6)),"")</f>
        <v/>
      </c>
      <c r="B162" t="str">
        <f>IFERROR(INDEX($I$1:$I$155,SMALL($Y$140:$Y$154,6)),"")</f>
        <v/>
      </c>
      <c r="C162" t="str">
        <f>IFERROR(INDEX($J$1:$J$155,SMALL($Y$140:$Y$154,6)),"")</f>
        <v/>
      </c>
      <c r="AD162">
        <f>IF(AND(ISNUMBER(Movimenti!$A144),Movimenti!$L144&lt;&gt;""),Movimenti!$A144,$B$32)</f>
        <v>45596.0</v>
      </c>
      <c r="AE162">
        <f>IF(Movimenti!$L144="",0,N(Movimenti!$L144))</f>
        <v>0</v>
      </c>
    </row>
    <row r="163">
      <c r="A163" t="str">
        <f>IFERROR(INDEX($C$1:$C$155,SMALL($Y$140:$Y$154,7)),"")</f>
        <v/>
      </c>
      <c r="B163" t="str">
        <f>IFERROR(INDEX($I$1:$I$155,SMALL($Y$140:$Y$154,7)),"")</f>
        <v/>
      </c>
      <c r="C163" t="str">
        <f>IFERROR(INDEX($J$1:$J$155,SMALL($Y$140:$Y$154,7)),"")</f>
        <v/>
      </c>
      <c r="AD163">
        <f>IF(AND(ISNUMBER(Movimenti!$A145),Movimenti!$L145&lt;&gt;""),Movimenti!$A145,$B$32)</f>
        <v>45596.0</v>
      </c>
      <c r="AE163">
        <f>IF(Movimenti!$L145="",0,N(Movimenti!$L145))</f>
        <v>0</v>
      </c>
    </row>
    <row r="164">
      <c r="A164" t="str">
        <f>IFERROR(INDEX($C$1:$C$155,SMALL($Y$140:$Y$154,8)),"")</f>
        <v/>
      </c>
      <c r="B164" t="str">
        <f>IFERROR(INDEX($I$1:$I$155,SMALL($Y$140:$Y$154,8)),"")</f>
        <v/>
      </c>
      <c r="C164" t="str">
        <f>IFERROR(INDEX($J$1:$J$155,SMALL($Y$140:$Y$154,8)),"")</f>
        <v/>
      </c>
      <c r="AD164">
        <f>IF(AND(ISNUMBER(Movimenti!$A146),Movimenti!$L146&lt;&gt;""),Movimenti!$A146,$B$32)</f>
        <v>45596.0</v>
      </c>
      <c r="AE164">
        <f>IF(Movimenti!$L146="",0,N(Movimenti!$L146))</f>
        <v>0</v>
      </c>
    </row>
    <row r="165">
      <c r="A165" t="str">
        <f>IFERROR(INDEX($C$1:$C$155,SMALL($Y$140:$Y$154,9)),"")</f>
        <v/>
      </c>
      <c r="B165" t="str">
        <f>IFERROR(INDEX($I$1:$I$155,SMALL($Y$140:$Y$154,9)),"")</f>
        <v/>
      </c>
      <c r="C165" t="str">
        <f>IFERROR(INDEX($J$1:$J$155,SMALL($Y$140:$Y$154,9)),"")</f>
        <v/>
      </c>
      <c r="AD165">
        <f>IF(AND(ISNUMBER(Movimenti!$A147),Movimenti!$L147&lt;&gt;""),Movimenti!$A147,$B$32)</f>
        <v>45596.0</v>
      </c>
      <c r="AE165">
        <f>IF(Movimenti!$L147="",0,N(Movimenti!$L147))</f>
        <v>0</v>
      </c>
    </row>
    <row r="166">
      <c r="A166" t="str">
        <f>IFERROR(INDEX($C$1:$C$155,SMALL($Y$140:$Y$154,10)),"")</f>
        <v/>
      </c>
      <c r="B166" t="str">
        <f>IFERROR(INDEX($I$1:$I$155,SMALL($Y$140:$Y$154,10)),"")</f>
        <v/>
      </c>
      <c r="C166" t="str">
        <f>IFERROR(INDEX($J$1:$J$155,SMALL($Y$140:$Y$154,10)),"")</f>
        <v/>
      </c>
      <c r="AD166">
        <f>IF(AND(ISNUMBER(Movimenti!$A148),Movimenti!$L148&lt;&gt;""),Movimenti!$A148,$B$32)</f>
        <v>45596.0</v>
      </c>
      <c r="AE166">
        <f>IF(Movimenti!$L148="",0,N(Movimenti!$L148))</f>
        <v>0</v>
      </c>
    </row>
    <row r="167">
      <c r="A167" t="str">
        <f>IFERROR(INDEX($C$1:$C$155,SMALL($Y$140:$Y$154,11)),"")</f>
        <v/>
      </c>
      <c r="B167" t="str">
        <f>IFERROR(INDEX($I$1:$I$155,SMALL($Y$140:$Y$154,11)),"")</f>
        <v/>
      </c>
      <c r="C167" t="str">
        <f>IFERROR(INDEX($J$1:$J$155,SMALL($Y$140:$Y$154,11)),"")</f>
        <v/>
      </c>
      <c r="AD167">
        <f>IF(AND(ISNUMBER(Movimenti!$A149),Movimenti!$L149&lt;&gt;""),Movimenti!$A149,$B$32)</f>
        <v>45596.0</v>
      </c>
      <c r="AE167">
        <f>IF(Movimenti!$L149="",0,N(Movimenti!$L149))</f>
        <v>0</v>
      </c>
    </row>
    <row r="168">
      <c r="A168" t="str">
        <f>IFERROR(INDEX($C$1:$C$155,SMALL($Y$140:$Y$154,12)),"")</f>
        <v/>
      </c>
      <c r="B168" t="str">
        <f>IFERROR(INDEX($I$1:$I$155,SMALL($Y$140:$Y$154,12)),"")</f>
        <v/>
      </c>
      <c r="C168" t="str">
        <f>IFERROR(INDEX($J$1:$J$155,SMALL($Y$140:$Y$154,12)),"")</f>
        <v/>
      </c>
      <c r="AD168">
        <f>IF(AND(ISNUMBER(Movimenti!$A150),Movimenti!$L150&lt;&gt;""),Movimenti!$A150,$B$32)</f>
        <v>45596.0</v>
      </c>
      <c r="AE168">
        <f>IF(Movimenti!$L150="",0,N(Movimenti!$L150))</f>
        <v>0</v>
      </c>
    </row>
    <row r="169">
      <c r="A169" t="str">
        <f>IFERROR(INDEX($C$1:$C$155,SMALL($Y$140:$Y$154,13)),"")</f>
        <v/>
      </c>
      <c r="B169" t="str">
        <f>IFERROR(INDEX($I$1:$I$155,SMALL($Y$140:$Y$154,13)),"")</f>
        <v/>
      </c>
      <c r="C169" t="str">
        <f>IFERROR(INDEX($J$1:$J$155,SMALL($Y$140:$Y$154,13)),"")</f>
        <v/>
      </c>
      <c r="AD169">
        <f>IF(AND(ISNUMBER(Movimenti!$A151),Movimenti!$L151&lt;&gt;""),Movimenti!$A151,$B$32)</f>
        <v>45596.0</v>
      </c>
      <c r="AE169">
        <f>IF(Movimenti!$L151="",0,N(Movimenti!$L151))</f>
        <v>0</v>
      </c>
    </row>
    <row r="170">
      <c r="A170" t="str">
        <f>IFERROR(INDEX($C$1:$C$155,SMALL($Y$140:$Y$154,14)),"")</f>
        <v/>
      </c>
      <c r="B170" t="str">
        <f>IFERROR(INDEX($I$1:$I$155,SMALL($Y$140:$Y$154,14)),"")</f>
        <v/>
      </c>
      <c r="C170" t="str">
        <f>IFERROR(INDEX($J$1:$J$155,SMALL($Y$140:$Y$154,14)),"")</f>
        <v/>
      </c>
      <c r="AD170">
        <f>IF(AND(ISNUMBER(Movimenti!$A152),Movimenti!$L152&lt;&gt;""),Movimenti!$A152,$B$32)</f>
        <v>45596.0</v>
      </c>
      <c r="AE170">
        <f>IF(Movimenti!$L152="",0,N(Movimenti!$L152))</f>
        <v>0</v>
      </c>
    </row>
    <row r="171">
      <c r="A171" t="str">
        <f>IFERROR(INDEX($C$1:$C$155,SMALL($Y$140:$Y$154,15)),"")</f>
        <v/>
      </c>
      <c r="B171" t="str">
        <f>IFERROR(INDEX($I$1:$I$155,SMALL($Y$140:$Y$154,15)),"")</f>
        <v/>
      </c>
      <c r="C171" t="str">
        <f>IFERROR(INDEX($J$1:$J$155,SMALL($Y$140:$Y$154,15)),"")</f>
        <v/>
      </c>
      <c r="AD171">
        <f>IF(AND(ISNUMBER(Movimenti!$A153),Movimenti!$L153&lt;&gt;""),Movimenti!$A153,$B$32)</f>
        <v>45596.0</v>
      </c>
      <c r="AE171">
        <f>IF(Movimenti!$L153="",0,N(Movimenti!$L153))</f>
        <v>0</v>
      </c>
    </row>
    <row r="172">
      <c r="AD172">
        <f>IF(AND(ISNUMBER(Movimenti!$A154),Movimenti!$L154&lt;&gt;""),Movimenti!$A154,$B$32)</f>
        <v>45596.0</v>
      </c>
      <c r="AE172">
        <f>IF(Movimenti!$L154="",0,N(Movimenti!$L154))</f>
        <v>0</v>
      </c>
    </row>
    <row r="173">
      <c r="AD173">
        <f>IF(AND(ISNUMBER(Movimenti!$A155),Movimenti!$L155&lt;&gt;""),Movimenti!$A155,$B$32)</f>
        <v>45596.0</v>
      </c>
      <c r="AE173">
        <f>IF(Movimenti!$L155="",0,N(Movimenti!$L155))</f>
        <v>0</v>
      </c>
    </row>
    <row r="174">
      <c r="A174" t="inlineStr">
        <is>
          <t>Classe</t>
        </is>
      </c>
      <c r="B174" t="inlineStr">
        <is>
          <t>Valore</t>
        </is>
      </c>
      <c r="C174" t="inlineStr">
        <is>
          <t>Obiettivo</t>
        </is>
      </c>
      <c r="D174" t="inlineStr">
        <is>
          <t>Peso</t>
        </is>
      </c>
      <c r="E174" t="inlineStr">
        <is>
          <t>Scostamento</t>
        </is>
      </c>
      <c r="F174" t="inlineStr">
        <is>
          <t>Riga</t>
        </is>
      </c>
      <c r="AD174">
        <f>IF(AND(ISNUMBER(Movimenti!$A156),Movimenti!$L156&lt;&gt;""),Movimenti!$A156,$B$32)</f>
        <v>45596.0</v>
      </c>
      <c r="AE174">
        <f>IF(Movimenti!$L156="",0,N(Movimenti!$L156))</f>
        <v>0</v>
      </c>
    </row>
    <row r="175">
      <c r="A175" t="str">
        <f>IF(Impostazioni!$E$5="","",Impostazioni!$E$5)</f>
        <v>Azionario</v>
      </c>
      <c r="B175">
        <f>IF(A175="",0,SUMIFS($J$7:$J$21,ETF!$D$7:$D$21,A175))</f>
        <v>11050.52</v>
      </c>
      <c r="C175">
        <f>IF(A175="",0,SUMIFS($M$7:$M$21,ETF!$D$7:$D$21,A175))</f>
        <v>0.65</v>
      </c>
      <c r="D175">
        <f>IF($J$22=0,0,B175/$J$22)</f>
        <v>0.647202314122578</v>
      </c>
      <c r="E175">
        <f>D175-C175</f>
        <v>-0.00279768587742157</v>
      </c>
      <c r="F175">
        <f>IF(OR(B175&gt;0.004,C175&gt;0.00001),ROW(),"")</f>
        <v>175</v>
      </c>
      <c r="AD175">
        <f>IF(AND(ISNUMBER(Movimenti!$A157),Movimenti!$L157&lt;&gt;""),Movimenti!$A157,$B$32)</f>
        <v>45596.0</v>
      </c>
      <c r="AE175">
        <f>IF(Movimenti!$L157="",0,N(Movimenti!$L157))</f>
        <v>0</v>
      </c>
    </row>
    <row r="176">
      <c r="A176" t="str">
        <f>IF(Impostazioni!$E$6="","",Impostazioni!$E$6)</f>
        <v>Obbligazionario</v>
      </c>
      <c r="B176">
        <f>IF(A176="",0,SUMIFS($J$7:$J$21,ETF!$D$7:$D$21,A176))</f>
        <v>4298.44</v>
      </c>
      <c r="C176">
        <f>IF(A176="",0,SUMIFS($M$7:$M$21,ETF!$D$7:$D$21,A176))</f>
        <v>0.25</v>
      </c>
      <c r="D176">
        <f>IF($J$22=0,0,B176/$J$22)</f>
        <v>0.25174926746588</v>
      </c>
      <c r="E176">
        <f>D176-C176</f>
        <v>0.00174926746588</v>
      </c>
      <c r="F176">
        <f>IF(OR(B176&gt;0.004,C176&gt;0.00001),ROW(),"")</f>
        <v>176</v>
      </c>
      <c r="AD176">
        <f>IF(AND(ISNUMBER(Movimenti!$A158),Movimenti!$L158&lt;&gt;""),Movimenti!$A158,$B$32)</f>
        <v>45596.0</v>
      </c>
      <c r="AE176">
        <f>IF(Movimenti!$L158="",0,N(Movimenti!$L158))</f>
        <v>0</v>
      </c>
    </row>
    <row r="177">
      <c r="A177" t="str">
        <f>IF(Impostazioni!$E$7="","",Impostazioni!$E$7)</f>
        <v>Materie prime</v>
      </c>
      <c r="B177">
        <f>IF(A177="",0,SUMIFS($J$7:$J$21,ETF!$D$7:$D$21,A177))</f>
        <v>1725.33</v>
      </c>
      <c r="C177">
        <f>IF(A177="",0,SUMIFS($M$7:$M$21,ETF!$D$7:$D$21,A177))</f>
        <v>0.1</v>
      </c>
      <c r="D177">
        <f>IF($J$22=0,0,B177/$J$22)</f>
        <v>0.101048418411542</v>
      </c>
      <c r="E177">
        <f>D177-C177</f>
        <v>0.00104841841154155</v>
      </c>
      <c r="F177">
        <f>IF(OR(B177&gt;0.004,C177&gt;0.00001),ROW(),"")</f>
        <v>177</v>
      </c>
      <c r="AD177">
        <f>IF(AND(ISNUMBER(Movimenti!$A159),Movimenti!$L159&lt;&gt;""),Movimenti!$A159,$B$32)</f>
        <v>45596.0</v>
      </c>
      <c r="AE177">
        <f>IF(Movimenti!$L159="",0,N(Movimenti!$L159))</f>
        <v>0</v>
      </c>
    </row>
    <row r="178">
      <c r="A178" t="str">
        <f>IF(Impostazioni!$E$8="","",Impostazioni!$E$8)</f>
        <v>Immobiliare</v>
      </c>
      <c r="B178">
        <f>IF(A178="",0,SUMIFS($J$7:$J$21,ETF!$D$7:$D$21,A178))</f>
        <v>0</v>
      </c>
      <c r="C178">
        <f>IF(A178="",0,SUMIFS($M$7:$M$21,ETF!$D$7:$D$21,A178))</f>
        <v>0</v>
      </c>
      <c r="D178">
        <f>IF($J$22=0,0,B178/$J$22)</f>
        <v>0</v>
      </c>
      <c r="E178">
        <f>D178-C178</f>
        <v>0</v>
      </c>
      <c r="F178" t="str">
        <f>IF(OR(B178&gt;0.004,C178&gt;0.00001),ROW(),"")</f>
        <v/>
      </c>
      <c r="AD178">
        <f>IF(AND(ISNUMBER(Movimenti!$A160),Movimenti!$L160&lt;&gt;""),Movimenti!$A160,$B$32)</f>
        <v>45596.0</v>
      </c>
      <c r="AE178">
        <f>IF(Movimenti!$L160="",0,N(Movimenti!$L160))</f>
        <v>0</v>
      </c>
    </row>
    <row r="179">
      <c r="A179" t="str">
        <f>IF(Impostazioni!$E$9="","",Impostazioni!$E$9)</f>
        <v>Monetario</v>
      </c>
      <c r="B179">
        <f>IF(A179="",0,SUMIFS($J$7:$J$21,ETF!$D$7:$D$21,A179))</f>
        <v>0</v>
      </c>
      <c r="C179">
        <f>IF(A179="",0,SUMIFS($M$7:$M$21,ETF!$D$7:$D$21,A179))</f>
        <v>0</v>
      </c>
      <c r="D179">
        <f>IF($J$22=0,0,B179/$J$22)</f>
        <v>0</v>
      </c>
      <c r="E179">
        <f>D179-C179</f>
        <v>0</v>
      </c>
      <c r="F179" t="str">
        <f>IF(OR(B179&gt;0.004,C179&gt;0.00001),ROW(),"")</f>
        <v/>
      </c>
      <c r="AD179">
        <f>IF(AND(ISNUMBER(Movimenti!$A161),Movimenti!$L161&lt;&gt;""),Movimenti!$A161,$B$32)</f>
        <v>45596.0</v>
      </c>
      <c r="AE179">
        <f>IF(Movimenti!$L161="",0,N(Movimenti!$L161))</f>
        <v>0</v>
      </c>
    </row>
    <row r="180">
      <c r="A180" t="str">
        <f>IF(Impostazioni!$E$10="","",Impostazioni!$E$10)</f>
        <v>Altro</v>
      </c>
      <c r="B180">
        <f>IF(A180="",0,SUMIFS($J$7:$J$21,ETF!$D$7:$D$21,A180))</f>
        <v>0</v>
      </c>
      <c r="C180">
        <f>IF(A180="",0,SUMIFS($M$7:$M$21,ETF!$D$7:$D$21,A180))</f>
        <v>0</v>
      </c>
      <c r="D180">
        <f>IF($J$22=0,0,B180/$J$22)</f>
        <v>0</v>
      </c>
      <c r="E180">
        <f>D180-C180</f>
        <v>0</v>
      </c>
      <c r="F180" t="str">
        <f>IF(OR(B180&gt;0.004,C180&gt;0.00001),ROW(),"")</f>
        <v/>
      </c>
      <c r="AD180">
        <f>IF(AND(ISNUMBER(Movimenti!$A162),Movimenti!$L162&lt;&gt;""),Movimenti!$A162,$B$32)</f>
        <v>45596.0</v>
      </c>
      <c r="AE180">
        <f>IF(Movimenti!$L162="",0,N(Movimenti!$L162))</f>
        <v>0</v>
      </c>
    </row>
    <row r="181">
      <c r="A181" t="str">
        <f>IF(Impostazioni!$E$11="","",Impostazioni!$E$11)</f>
        <v/>
      </c>
      <c r="B181">
        <f>IF(A181="",0,SUMIFS($J$7:$J$21,ETF!$D$7:$D$21,A181))</f>
        <v>0</v>
      </c>
      <c r="C181">
        <f>IF(A181="",0,SUMIFS($M$7:$M$21,ETF!$D$7:$D$21,A181))</f>
        <v>0</v>
      </c>
      <c r="D181">
        <f>IF($J$22=0,0,B181/$J$22)</f>
        <v>0</v>
      </c>
      <c r="E181">
        <f>D181-C181</f>
        <v>0</v>
      </c>
      <c r="F181" t="str">
        <f>IF(OR(B181&gt;0.004,C181&gt;0.00001),ROW(),"")</f>
        <v/>
      </c>
      <c r="AD181">
        <f>IF(AND(ISNUMBER(Movimenti!$A163),Movimenti!$L163&lt;&gt;""),Movimenti!$A163,$B$32)</f>
        <v>45596.0</v>
      </c>
      <c r="AE181">
        <f>IF(Movimenti!$L163="",0,N(Movimenti!$L163))</f>
        <v>0</v>
      </c>
    </row>
    <row r="182">
      <c r="A182" t="str">
        <f>IF(Impostazioni!$E$12="","",Impostazioni!$E$12)</f>
        <v/>
      </c>
      <c r="B182">
        <f>IF(A182="",0,SUMIFS($J$7:$J$21,ETF!$D$7:$D$21,A182))</f>
        <v>0</v>
      </c>
      <c r="C182">
        <f>IF(A182="",0,SUMIFS($M$7:$M$21,ETF!$D$7:$D$21,A182))</f>
        <v>0</v>
      </c>
      <c r="D182">
        <f>IF($J$22=0,0,B182/$J$22)</f>
        <v>0</v>
      </c>
      <c r="E182">
        <f>D182-C182</f>
        <v>0</v>
      </c>
      <c r="F182" t="str">
        <f>IF(OR(B182&gt;0.004,C182&gt;0.00001),ROW(),"")</f>
        <v/>
      </c>
      <c r="AD182">
        <f>IF(AND(ISNUMBER(Movimenti!$A164),Movimenti!$L164&lt;&gt;""),Movimenti!$A164,$B$32)</f>
        <v>45596.0</v>
      </c>
      <c r="AE182">
        <f>IF(Movimenti!$L164="",0,N(Movimenti!$L164))</f>
        <v>0</v>
      </c>
    </row>
    <row r="183">
      <c r="A183" t="str">
        <f>IF(Impostazioni!$E$13="","",Impostazioni!$E$13)</f>
        <v/>
      </c>
      <c r="B183">
        <f>IF(A183="",0,SUMIFS($J$7:$J$21,ETF!$D$7:$D$21,A183))</f>
        <v>0</v>
      </c>
      <c r="C183">
        <f>IF(A183="",0,SUMIFS($M$7:$M$21,ETF!$D$7:$D$21,A183))</f>
        <v>0</v>
      </c>
      <c r="D183">
        <f>IF($J$22=0,0,B183/$J$22)</f>
        <v>0</v>
      </c>
      <c r="E183">
        <f>D183-C183</f>
        <v>0</v>
      </c>
      <c r="F183" t="str">
        <f>IF(OR(B183&gt;0.004,C183&gt;0.00001),ROW(),"")</f>
        <v/>
      </c>
      <c r="AD183">
        <f>IF(AND(ISNUMBER(Movimenti!$A165),Movimenti!$L165&lt;&gt;""),Movimenti!$A165,$B$32)</f>
        <v>45596.0</v>
      </c>
      <c r="AE183">
        <f>IF(Movimenti!$L165="",0,N(Movimenti!$L165))</f>
        <v>0</v>
      </c>
    </row>
    <row r="184">
      <c r="A184" t="str">
        <f>IF(Impostazioni!$E$14="","",Impostazioni!$E$14)</f>
        <v/>
      </c>
      <c r="B184">
        <f>IF(A184="",0,SUMIFS($J$7:$J$21,ETF!$D$7:$D$21,A184))</f>
        <v>0</v>
      </c>
      <c r="C184">
        <f>IF(A184="",0,SUMIFS($M$7:$M$21,ETF!$D$7:$D$21,A184))</f>
        <v>0</v>
      </c>
      <c r="D184">
        <f>IF($J$22=0,0,B184/$J$22)</f>
        <v>0</v>
      </c>
      <c r="E184">
        <f>D184-C184</f>
        <v>0</v>
      </c>
      <c r="F184" t="str">
        <f>IF(OR(B184&gt;0.004,C184&gt;0.00001),ROW(),"")</f>
        <v/>
      </c>
      <c r="AD184">
        <f>IF(AND(ISNUMBER(Movimenti!$A166),Movimenti!$L166&lt;&gt;""),Movimenti!$A166,$B$32)</f>
        <v>45596.0</v>
      </c>
      <c r="AE184">
        <f>IF(Movimenti!$L166="",0,N(Movimenti!$L166))</f>
        <v>0</v>
      </c>
    </row>
    <row r="185">
      <c r="A185" t="inlineStr">
        <is>
          <t>Senza classe</t>
        </is>
      </c>
      <c r="B185">
        <f>MAX(0,$J$22-SUM(B175:B184))</f>
        <v>0</v>
      </c>
      <c r="C185">
        <f>MAX(0,1-SUM(C175:C184))*IF($L$22&gt;0,1,0)</f>
        <v>0</v>
      </c>
      <c r="D185">
        <f>IF($J$22=0,0,B185/$J$22)</f>
        <v>0</v>
      </c>
      <c r="E185">
        <f>D185-C185</f>
        <v>0</v>
      </c>
      <c r="F185" t="str">
        <f>IF(OR(B185&gt;0.004,C185&gt;0.00001),ROW(),"")</f>
        <v/>
      </c>
      <c r="AD185">
        <f>IF(AND(ISNUMBER(Movimenti!$A167),Movimenti!$L167&lt;&gt;""),Movimenti!$A167,$B$32)</f>
        <v>45596.0</v>
      </c>
      <c r="AE185">
        <f>IF(Movimenti!$L167="",0,N(Movimenti!$L167))</f>
        <v>0</v>
      </c>
    </row>
    <row r="186">
      <c r="AD186">
        <f>IF(AND(ISNUMBER(Movimenti!$A168),Movimenti!$L168&lt;&gt;""),Movimenti!$A168,$B$32)</f>
        <v>45596.0</v>
      </c>
      <c r="AE186">
        <f>IF(Movimenti!$L168="",0,N(Movimenti!$L168))</f>
        <v>0</v>
      </c>
    </row>
    <row r="187">
      <c r="AD187">
        <f>IF(AND(ISNUMBER(Movimenti!$A169),Movimenti!$L169&lt;&gt;""),Movimenti!$A169,$B$32)</f>
        <v>45596.0</v>
      </c>
      <c r="AE187">
        <f>IF(Movimenti!$L169="",0,N(Movimenti!$L169))</f>
        <v>0</v>
      </c>
    </row>
    <row r="188">
      <c r="AD188">
        <f>IF(AND(ISNUMBER(Movimenti!$A170),Movimenti!$L170&lt;&gt;""),Movimenti!$A170,$B$32)</f>
        <v>45596.0</v>
      </c>
      <c r="AE188">
        <f>IF(Movimenti!$L170="",0,N(Movimenti!$L170))</f>
        <v>0</v>
      </c>
    </row>
    <row r="189">
      <c r="AD189">
        <f>IF(AND(ISNUMBER(Movimenti!$A171),Movimenti!$L171&lt;&gt;""),Movimenti!$A171,$B$32)</f>
        <v>45596.0</v>
      </c>
      <c r="AE189">
        <f>IF(Movimenti!$L171="",0,N(Movimenti!$L171))</f>
        <v>0</v>
      </c>
    </row>
    <row r="190">
      <c r="A190" t="str">
        <f>IFERROR(INDEX($A$1:$A$185,SMALL($F$175:$F$185,1)),"")</f>
        <v>Azionario</v>
      </c>
      <c r="B190">
        <f>IFERROR(INDEX($B$1:$B$185,SMALL($F$175:$F$185,1)),"")</f>
        <v>11050.52</v>
      </c>
      <c r="C190">
        <f>IFERROR(INDEX($C$1:$C$185,SMALL($F$175:$F$185,1)),"")</f>
        <v>0.65</v>
      </c>
      <c r="D190">
        <f>IFERROR(INDEX($D$1:$D$185,SMALL($F$175:$F$185,1)),"")</f>
        <v>0.647202314122578</v>
      </c>
      <c r="E190">
        <f>IFERROR(INDEX($E$1:$E$185,SMALL($F$175:$F$185,1)),"")</f>
        <v>-0.00279768587742157</v>
      </c>
      <c r="AD190">
        <f>IF(AND(ISNUMBER(Movimenti!$A172),Movimenti!$L172&lt;&gt;""),Movimenti!$A172,$B$32)</f>
        <v>45596.0</v>
      </c>
      <c r="AE190">
        <f>IF(Movimenti!$L172="",0,N(Movimenti!$L172))</f>
        <v>0</v>
      </c>
    </row>
    <row r="191">
      <c r="A191" t="str">
        <f>IFERROR(INDEX($A$1:$A$185,SMALL($F$175:$F$185,2)),"")</f>
        <v>Obbligazionario</v>
      </c>
      <c r="B191">
        <f>IFERROR(INDEX($B$1:$B$185,SMALL($F$175:$F$185,2)),"")</f>
        <v>4298.44</v>
      </c>
      <c r="C191">
        <f>IFERROR(INDEX($C$1:$C$185,SMALL($F$175:$F$185,2)),"")</f>
        <v>0.25</v>
      </c>
      <c r="D191">
        <f>IFERROR(INDEX($D$1:$D$185,SMALL($F$175:$F$185,2)),"")</f>
        <v>0.25174926746588</v>
      </c>
      <c r="E191">
        <f>IFERROR(INDEX($E$1:$E$185,SMALL($F$175:$F$185,2)),"")</f>
        <v>0.00174926746588</v>
      </c>
      <c r="AD191">
        <f>IF(AND(ISNUMBER(Movimenti!$A173),Movimenti!$L173&lt;&gt;""),Movimenti!$A173,$B$32)</f>
        <v>45596.0</v>
      </c>
      <c r="AE191">
        <f>IF(Movimenti!$L173="",0,N(Movimenti!$L173))</f>
        <v>0</v>
      </c>
    </row>
    <row r="192">
      <c r="A192" t="str">
        <f>IFERROR(INDEX($A$1:$A$185,SMALL($F$175:$F$185,3)),"")</f>
        <v>Materie prime</v>
      </c>
      <c r="B192">
        <f>IFERROR(INDEX($B$1:$B$185,SMALL($F$175:$F$185,3)),"")</f>
        <v>1725.33</v>
      </c>
      <c r="C192">
        <f>IFERROR(INDEX($C$1:$C$185,SMALL($F$175:$F$185,3)),"")</f>
        <v>0.1</v>
      </c>
      <c r="D192">
        <f>IFERROR(INDEX($D$1:$D$185,SMALL($F$175:$F$185,3)),"")</f>
        <v>0.101048418411542</v>
      </c>
      <c r="E192">
        <f>IFERROR(INDEX($E$1:$E$185,SMALL($F$175:$F$185,3)),"")</f>
        <v>0.00104841841154155</v>
      </c>
      <c r="AD192">
        <f>IF(AND(ISNUMBER(Movimenti!$A174),Movimenti!$L174&lt;&gt;""),Movimenti!$A174,$B$32)</f>
        <v>45596.0</v>
      </c>
      <c r="AE192">
        <f>IF(Movimenti!$L174="",0,N(Movimenti!$L174))</f>
        <v>0</v>
      </c>
    </row>
    <row r="193">
      <c r="A193" t="str">
        <f>IFERROR(INDEX($A$1:$A$185,SMALL($F$175:$F$185,4)),"")</f>
        <v/>
      </c>
      <c r="B193" t="str">
        <f>IFERROR(INDEX($B$1:$B$185,SMALL($F$175:$F$185,4)),"")</f>
        <v/>
      </c>
      <c r="C193" t="str">
        <f>IFERROR(INDEX($C$1:$C$185,SMALL($F$175:$F$185,4)),"")</f>
        <v/>
      </c>
      <c r="D193" t="str">
        <f>IFERROR(INDEX($D$1:$D$185,SMALL($F$175:$F$185,4)),"")</f>
        <v/>
      </c>
      <c r="E193" t="str">
        <f>IFERROR(INDEX($E$1:$E$185,SMALL($F$175:$F$185,4)),"")</f>
        <v/>
      </c>
      <c r="AD193">
        <f>IF(AND(ISNUMBER(Movimenti!$A175),Movimenti!$L175&lt;&gt;""),Movimenti!$A175,$B$32)</f>
        <v>45596.0</v>
      </c>
      <c r="AE193">
        <f>IF(Movimenti!$L175="",0,N(Movimenti!$L175))</f>
        <v>0</v>
      </c>
    </row>
    <row r="194">
      <c r="A194" t="str">
        <f>IFERROR(INDEX($A$1:$A$185,SMALL($F$175:$F$185,5)),"")</f>
        <v/>
      </c>
      <c r="B194" t="str">
        <f>IFERROR(INDEX($B$1:$B$185,SMALL($F$175:$F$185,5)),"")</f>
        <v/>
      </c>
      <c r="C194" t="str">
        <f>IFERROR(INDEX($C$1:$C$185,SMALL($F$175:$F$185,5)),"")</f>
        <v/>
      </c>
      <c r="D194" t="str">
        <f>IFERROR(INDEX($D$1:$D$185,SMALL($F$175:$F$185,5)),"")</f>
        <v/>
      </c>
      <c r="E194" t="str">
        <f>IFERROR(INDEX($E$1:$E$185,SMALL($F$175:$F$185,5)),"")</f>
        <v/>
      </c>
      <c r="AD194">
        <f>IF(AND(ISNUMBER(Movimenti!$A176),Movimenti!$L176&lt;&gt;""),Movimenti!$A176,$B$32)</f>
        <v>45596.0</v>
      </c>
      <c r="AE194">
        <f>IF(Movimenti!$L176="",0,N(Movimenti!$L176))</f>
        <v>0</v>
      </c>
    </row>
    <row r="195">
      <c r="A195" t="str">
        <f>IFERROR(INDEX($A$1:$A$185,SMALL($F$175:$F$185,6)),"")</f>
        <v/>
      </c>
      <c r="B195" t="str">
        <f>IFERROR(INDEX($B$1:$B$185,SMALL($F$175:$F$185,6)),"")</f>
        <v/>
      </c>
      <c r="C195" t="str">
        <f>IFERROR(INDEX($C$1:$C$185,SMALL($F$175:$F$185,6)),"")</f>
        <v/>
      </c>
      <c r="D195" t="str">
        <f>IFERROR(INDEX($D$1:$D$185,SMALL($F$175:$F$185,6)),"")</f>
        <v/>
      </c>
      <c r="E195" t="str">
        <f>IFERROR(INDEX($E$1:$E$185,SMALL($F$175:$F$185,6)),"")</f>
        <v/>
      </c>
      <c r="AD195">
        <f>IF(AND(ISNUMBER(Movimenti!$A177),Movimenti!$L177&lt;&gt;""),Movimenti!$A177,$B$32)</f>
        <v>45596.0</v>
      </c>
      <c r="AE195">
        <f>IF(Movimenti!$L177="",0,N(Movimenti!$L177))</f>
        <v>0</v>
      </c>
    </row>
    <row r="196">
      <c r="A196" t="str">
        <f>IFERROR(INDEX($A$1:$A$185,SMALL($F$175:$F$185,7)),"")</f>
        <v/>
      </c>
      <c r="B196" t="str">
        <f>IFERROR(INDEX($B$1:$B$185,SMALL($F$175:$F$185,7)),"")</f>
        <v/>
      </c>
      <c r="C196" t="str">
        <f>IFERROR(INDEX($C$1:$C$185,SMALL($F$175:$F$185,7)),"")</f>
        <v/>
      </c>
      <c r="D196" t="str">
        <f>IFERROR(INDEX($D$1:$D$185,SMALL($F$175:$F$185,7)),"")</f>
        <v/>
      </c>
      <c r="E196" t="str">
        <f>IFERROR(INDEX($E$1:$E$185,SMALL($F$175:$F$185,7)),"")</f>
        <v/>
      </c>
      <c r="AD196">
        <f>IF(AND(ISNUMBER(Movimenti!$A178),Movimenti!$L178&lt;&gt;""),Movimenti!$A178,$B$32)</f>
        <v>45596.0</v>
      </c>
      <c r="AE196">
        <f>IF(Movimenti!$L178="",0,N(Movimenti!$L178))</f>
        <v>0</v>
      </c>
    </row>
    <row r="197">
      <c r="A197" t="str">
        <f>IFERROR(INDEX($A$1:$A$185,SMALL($F$175:$F$185,8)),"")</f>
        <v/>
      </c>
      <c r="B197" t="str">
        <f>IFERROR(INDEX($B$1:$B$185,SMALL($F$175:$F$185,8)),"")</f>
        <v/>
      </c>
      <c r="C197" t="str">
        <f>IFERROR(INDEX($C$1:$C$185,SMALL($F$175:$F$185,8)),"")</f>
        <v/>
      </c>
      <c r="D197" t="str">
        <f>IFERROR(INDEX($D$1:$D$185,SMALL($F$175:$F$185,8)),"")</f>
        <v/>
      </c>
      <c r="E197" t="str">
        <f>IFERROR(INDEX($E$1:$E$185,SMALL($F$175:$F$185,8)),"")</f>
        <v/>
      </c>
      <c r="AD197">
        <f>IF(AND(ISNUMBER(Movimenti!$A179),Movimenti!$L179&lt;&gt;""),Movimenti!$A179,$B$32)</f>
        <v>45596.0</v>
      </c>
      <c r="AE197">
        <f>IF(Movimenti!$L179="",0,N(Movimenti!$L179))</f>
        <v>0</v>
      </c>
    </row>
    <row r="198">
      <c r="A198" t="str">
        <f>IFERROR(INDEX($A$1:$A$185,SMALL($F$175:$F$185,9)),"")</f>
        <v/>
      </c>
      <c r="B198" t="str">
        <f>IFERROR(INDEX($B$1:$B$185,SMALL($F$175:$F$185,9)),"")</f>
        <v/>
      </c>
      <c r="C198" t="str">
        <f>IFERROR(INDEX($C$1:$C$185,SMALL($F$175:$F$185,9)),"")</f>
        <v/>
      </c>
      <c r="D198" t="str">
        <f>IFERROR(INDEX($D$1:$D$185,SMALL($F$175:$F$185,9)),"")</f>
        <v/>
      </c>
      <c r="E198" t="str">
        <f>IFERROR(INDEX($E$1:$E$185,SMALL($F$175:$F$185,9)),"")</f>
        <v/>
      </c>
      <c r="AD198">
        <f>IF(AND(ISNUMBER(Movimenti!$A180),Movimenti!$L180&lt;&gt;""),Movimenti!$A180,$B$32)</f>
        <v>45596.0</v>
      </c>
      <c r="AE198">
        <f>IF(Movimenti!$L180="",0,N(Movimenti!$L180))</f>
        <v>0</v>
      </c>
    </row>
    <row r="199">
      <c r="A199" t="str">
        <f>IFERROR(INDEX($A$1:$A$185,SMALL($F$175:$F$185,10)),"")</f>
        <v/>
      </c>
      <c r="B199" t="str">
        <f>IFERROR(INDEX($B$1:$B$185,SMALL($F$175:$F$185,10)),"")</f>
        <v/>
      </c>
      <c r="C199" t="str">
        <f>IFERROR(INDEX($C$1:$C$185,SMALL($F$175:$F$185,10)),"")</f>
        <v/>
      </c>
      <c r="D199" t="str">
        <f>IFERROR(INDEX($D$1:$D$185,SMALL($F$175:$F$185,10)),"")</f>
        <v/>
      </c>
      <c r="E199" t="str">
        <f>IFERROR(INDEX($E$1:$E$185,SMALL($F$175:$F$185,10)),"")</f>
        <v/>
      </c>
      <c r="AD199">
        <f>IF(AND(ISNUMBER(Movimenti!$A181),Movimenti!$L181&lt;&gt;""),Movimenti!$A181,$B$32)</f>
        <v>45596.0</v>
      </c>
      <c r="AE199">
        <f>IF(Movimenti!$L181="",0,N(Movimenti!$L181))</f>
        <v>0</v>
      </c>
    </row>
    <row r="200">
      <c r="A200" t="str">
        <f>IFERROR(INDEX($A$1:$A$185,SMALL($F$175:$F$185,11)),"")</f>
        <v/>
      </c>
      <c r="B200" t="str">
        <f>IFERROR(INDEX($B$1:$B$185,SMALL($F$175:$F$185,11)),"")</f>
        <v/>
      </c>
      <c r="C200" t="str">
        <f>IFERROR(INDEX($C$1:$C$185,SMALL($F$175:$F$185,11)),"")</f>
        <v/>
      </c>
      <c r="D200" t="str">
        <f>IFERROR(INDEX($D$1:$D$185,SMALL($F$175:$F$185,11)),"")</f>
        <v/>
      </c>
      <c r="E200" t="str">
        <f>IFERROR(INDEX($E$1:$E$185,SMALL($F$175:$F$185,11)),"")</f>
        <v/>
      </c>
      <c r="AD200">
        <f>IF(AND(ISNUMBER(Movimenti!$A182),Movimenti!$L182&lt;&gt;""),Movimenti!$A182,$B$32)</f>
        <v>45596.0</v>
      </c>
      <c r="AE200">
        <f>IF(Movimenti!$L182="",0,N(Movimenti!$L182))</f>
        <v>0</v>
      </c>
    </row>
    <row r="201">
      <c r="AD201">
        <f>IF(AND(ISNUMBER(Movimenti!$A183),Movimenti!$L183&lt;&gt;""),Movimenti!$A183,$B$32)</f>
        <v>45596.0</v>
      </c>
      <c r="AE201">
        <f>IF(Movimenti!$L183="",0,N(Movimenti!$L183))</f>
        <v>0</v>
      </c>
    </row>
    <row r="202">
      <c r="AD202">
        <f>IF(AND(ISNUMBER(Movimenti!$A184),Movimenti!$L184&lt;&gt;""),Movimenti!$A184,$B$32)</f>
        <v>45596.0</v>
      </c>
      <c r="AE202">
        <f>IF(Movimenti!$L184="",0,N(Movimenti!$L184))</f>
        <v>0</v>
      </c>
    </row>
    <row r="203">
      <c r="AD203">
        <f>IF(AND(ISNUMBER(Movimenti!$A185),Movimenti!$L185&lt;&gt;""),Movimenti!$A185,$B$32)</f>
        <v>45596.0</v>
      </c>
      <c r="AE203">
        <f>IF(Movimenti!$L185="",0,N(Movimenti!$L185))</f>
        <v>0</v>
      </c>
    </row>
    <row r="204">
      <c r="A204" t="inlineStr">
        <is>
          <t>Mese</t>
        </is>
      </c>
      <c r="B204" t="inlineStr">
        <is>
          <t>Etichetta</t>
        </is>
      </c>
      <c r="C204" t="inlineStr">
        <is>
          <t>Versato</t>
        </is>
      </c>
      <c r="D204" t="inlineStr">
        <is>
          <t>Valore</t>
        </is>
      </c>
      <c r="AD204">
        <f>IF(AND(ISNUMBER(Movimenti!$A186),Movimenti!$L186&lt;&gt;""),Movimenti!$A186,$B$32)</f>
        <v>45596.0</v>
      </c>
      <c r="AE204">
        <f>IF(Movimenti!$L186="",0,N(Movimenti!$L186))</f>
        <v>0</v>
      </c>
    </row>
    <row r="205">
      <c r="A205">
        <f>DATE(YEAR($B$42),MONTH($B$42)-23,1)</f>
        <v>45597.0</v>
      </c>
      <c r="B205" t="str">
        <f>CHOOSE(MONTH(A205),"gen","feb","mar","apr","mag","giu","lug","ago","set","ott","nov","dic")&amp;" "&amp;RIGHT(YEAR(A205),2)</f>
        <v>nov 24</v>
      </c>
      <c r="C205">
        <f>-SUMIFS(Movimenti!$L$5:$L$1004,Movimenti!$A$5:$A$1004,"&lt;="&amp;EOMONTH(A205,0),Movimenti!$B$5:$B$1004,"&lt;&gt;Dividendo")+IF(Impostazioni!$B$7&lt;=EOMONTH(A205,0),$D$22,0)</f>
        <v>6891.2</v>
      </c>
      <c r="D205">
        <f>IF(COUNTIFS(Storico!$A$6:$A$245,"&gt;="&amp;A205,Storico!$A$6:$A$245,"&lt;="&amp;EOMONTH(A205,0),Storico!$B$6:$B$245,"&lt;&gt;")=0,NA(),SUMIFS(Storico!$B$6:$B$245,Storico!$A$6:$A$245,"&gt;="&amp;A205,Storico!$A$6:$A$245,"&lt;="&amp;EOMONTH(A205,0))/COUNTIFS(Storico!$A$6:$A$245,"&gt;="&amp;A205,Storico!$A$6:$A$245,"&lt;="&amp;EOMONTH(A205,0),Storico!$B$6:$B$245,"&lt;&gt;"))</f>
        <v>6975</v>
      </c>
      <c r="AD205">
        <f>IF(AND(ISNUMBER(Movimenti!$A187),Movimenti!$L187&lt;&gt;""),Movimenti!$A187,$B$32)</f>
        <v>45596.0</v>
      </c>
      <c r="AE205">
        <f>IF(Movimenti!$L187="",0,N(Movimenti!$L187))</f>
        <v>0</v>
      </c>
    </row>
    <row r="206">
      <c r="A206">
        <f>DATE(YEAR($B$42),MONTH($B$42)-22,1)</f>
        <v>45627.0</v>
      </c>
      <c r="B206" t="str">
        <f>CHOOSE(MONTH(A206),"gen","feb","mar","apr","mag","giu","lug","ago","set","ott","nov","dic")&amp;" "&amp;RIGHT(YEAR(A206),2)</f>
        <v>dic 24</v>
      </c>
      <c r="C206">
        <f>-SUMIFS(Movimenti!$L$5:$L$1004,Movimenti!$A$5:$A$1004,"&lt;="&amp;EOMONTH(A206,0),Movimenti!$B$5:$B$1004,"&lt;&gt;Dividendo")+IF(Impostazioni!$B$7&lt;=EOMONTH(A206,0),$D$22,0)</f>
        <v>7277.05</v>
      </c>
      <c r="D206">
        <f>IF(COUNTIFS(Storico!$A$6:$A$245,"&gt;="&amp;A206,Storico!$A$6:$A$245,"&lt;="&amp;EOMONTH(A206,0),Storico!$B$6:$B$245,"&lt;&gt;")=0,NA(),SUMIFS(Storico!$B$6:$B$245,Storico!$A$6:$A$245,"&gt;="&amp;A206,Storico!$A$6:$A$245,"&lt;="&amp;EOMONTH(A206,0))/COUNTIFS(Storico!$A$6:$A$245,"&gt;="&amp;A206,Storico!$A$6:$A$245,"&lt;="&amp;EOMONTH(A206,0),Storico!$B$6:$B$245,"&lt;&gt;"))</f>
        <v>7437</v>
      </c>
      <c r="AD206">
        <f>IF(AND(ISNUMBER(Movimenti!$A188),Movimenti!$L188&lt;&gt;""),Movimenti!$A188,$B$32)</f>
        <v>45596.0</v>
      </c>
      <c r="AE206">
        <f>IF(Movimenti!$L188="",0,N(Movimenti!$L188))</f>
        <v>0</v>
      </c>
    </row>
    <row r="207">
      <c r="A207">
        <f>DATE(YEAR($B$42),MONTH($B$42)-21,1)</f>
        <v>45658.0</v>
      </c>
      <c r="B207" t="str">
        <f>CHOOSE(MONTH(A207),"gen","feb","mar","apr","mag","giu","lug","ago","set","ott","nov","dic")&amp;" "&amp;RIGHT(YEAR(A207),2)</f>
        <v>gen 25</v>
      </c>
      <c r="C207">
        <f>-SUMIFS(Movimenti!$L$5:$L$1004,Movimenti!$A$5:$A$1004,"&lt;="&amp;EOMONTH(A207,0),Movimenti!$B$5:$B$1004,"&lt;&gt;Dividendo")+IF(Impostazioni!$B$7&lt;=EOMONTH(A207,0),$D$22,0)</f>
        <v>7634.87</v>
      </c>
      <c r="D207">
        <f>IF(COUNTIFS(Storico!$A$6:$A$245,"&gt;="&amp;A207,Storico!$A$6:$A$245,"&lt;="&amp;EOMONTH(A207,0),Storico!$B$6:$B$245,"&lt;&gt;")=0,NA(),SUMIFS(Storico!$B$6:$B$245,Storico!$A$6:$A$245,"&gt;="&amp;A207,Storico!$A$6:$A$245,"&lt;="&amp;EOMONTH(A207,0))/COUNTIFS(Storico!$A$6:$A$245,"&gt;="&amp;A207,Storico!$A$6:$A$245,"&lt;="&amp;EOMONTH(A207,0),Storico!$B$6:$B$245,"&lt;&gt;"))</f>
        <v>7979</v>
      </c>
      <c r="AD207">
        <f>IF(AND(ISNUMBER(Movimenti!$A189),Movimenti!$L189&lt;&gt;""),Movimenti!$A189,$B$32)</f>
        <v>45596.0</v>
      </c>
      <c r="AE207">
        <f>IF(Movimenti!$L189="",0,N(Movimenti!$L189))</f>
        <v>0</v>
      </c>
    </row>
    <row r="208">
      <c r="A208">
        <f>DATE(YEAR($B$42),MONTH($B$42)-20,1)</f>
        <v>45689.0</v>
      </c>
      <c r="B208" t="str">
        <f>CHOOSE(MONTH(A208),"gen","feb","mar","apr","mag","giu","lug","ago","set","ott","nov","dic")&amp;" "&amp;RIGHT(YEAR(A208),2)</f>
        <v>feb 25</v>
      </c>
      <c r="C208">
        <f>-SUMIFS(Movimenti!$L$5:$L$1004,Movimenti!$A$5:$A$1004,"&lt;="&amp;EOMONTH(A208,0),Movimenti!$B$5:$B$1004,"&lt;&gt;Dividendo")+IF(Impostazioni!$B$7&lt;=EOMONTH(A208,0),$D$22,0)</f>
        <v>8023.2</v>
      </c>
      <c r="D208">
        <f>IF(COUNTIFS(Storico!$A$6:$A$245,"&gt;="&amp;A208,Storico!$A$6:$A$245,"&lt;="&amp;EOMONTH(A208,0),Storico!$B$6:$B$245,"&lt;&gt;")=0,NA(),SUMIFS(Storico!$B$6:$B$245,Storico!$A$6:$A$245,"&gt;="&amp;A208,Storico!$A$6:$A$245,"&lt;="&amp;EOMONTH(A208,0))/COUNTIFS(Storico!$A$6:$A$245,"&gt;="&amp;A208,Storico!$A$6:$A$245,"&lt;="&amp;EOMONTH(A208,0),Storico!$B$6:$B$245,"&lt;&gt;"))</f>
        <v>8369</v>
      </c>
      <c r="AD208">
        <f>IF(AND(ISNUMBER(Movimenti!$A190),Movimenti!$L190&lt;&gt;""),Movimenti!$A190,$B$32)</f>
        <v>45596.0</v>
      </c>
      <c r="AE208">
        <f>IF(Movimenti!$L190="",0,N(Movimenti!$L190))</f>
        <v>0</v>
      </c>
    </row>
    <row r="209">
      <c r="A209">
        <f>DATE(YEAR($B$42),MONTH($B$42)-19,1)</f>
        <v>45717.0</v>
      </c>
      <c r="B209" t="str">
        <f>CHOOSE(MONTH(A209),"gen","feb","mar","apr","mag","giu","lug","ago","set","ott","nov","dic")&amp;" "&amp;RIGHT(YEAR(A209),2)</f>
        <v>mar 25</v>
      </c>
      <c r="C209">
        <f>-SUMIFS(Movimenti!$L$5:$L$1004,Movimenti!$A$5:$A$1004,"&lt;="&amp;EOMONTH(A209,0),Movimenti!$B$5:$B$1004,"&lt;&gt;Dividendo")+IF(Impostazioni!$B$7&lt;=EOMONTH(A209,0),$D$22,0)</f>
        <v>8404.28</v>
      </c>
      <c r="D209">
        <f>IF(COUNTIFS(Storico!$A$6:$A$245,"&gt;="&amp;A209,Storico!$A$6:$A$245,"&lt;="&amp;EOMONTH(A209,0),Storico!$B$6:$B$245,"&lt;&gt;")=0,NA(),SUMIFS(Storico!$B$6:$B$245,Storico!$A$6:$A$245,"&gt;="&amp;A209,Storico!$A$6:$A$245,"&lt;="&amp;EOMONTH(A209,0))/COUNTIFS(Storico!$A$6:$A$245,"&gt;="&amp;A209,Storico!$A$6:$A$245,"&lt;="&amp;EOMONTH(A209,0),Storico!$B$6:$B$245,"&lt;&gt;"))</f>
        <v>8614</v>
      </c>
      <c r="AD209">
        <f>IF(AND(ISNUMBER(Movimenti!$A191),Movimenti!$L191&lt;&gt;""),Movimenti!$A191,$B$32)</f>
        <v>45596.0</v>
      </c>
      <c r="AE209">
        <f>IF(Movimenti!$L191="",0,N(Movimenti!$L191))</f>
        <v>0</v>
      </c>
    </row>
    <row r="210">
      <c r="A210">
        <f>DATE(YEAR($B$42),MONTH($B$42)-18,1)</f>
        <v>45748.0</v>
      </c>
      <c r="B210" t="str">
        <f>CHOOSE(MONTH(A210),"gen","feb","mar","apr","mag","giu","lug","ago","set","ott","nov","dic")&amp;" "&amp;RIGHT(YEAR(A210),2)</f>
        <v>apr 25</v>
      </c>
      <c r="C210">
        <f>-SUMIFS(Movimenti!$L$5:$L$1004,Movimenti!$A$5:$A$1004,"&lt;="&amp;EOMONTH(A210,0),Movimenti!$B$5:$B$1004,"&lt;&gt;Dividendo")+IF(Impostazioni!$B$7&lt;=EOMONTH(A210,0),$D$22,0)</f>
        <v>8770.84</v>
      </c>
      <c r="D210">
        <f>IF(COUNTIFS(Storico!$A$6:$A$245,"&gt;="&amp;A210,Storico!$A$6:$A$245,"&lt;="&amp;EOMONTH(A210,0),Storico!$B$6:$B$245,"&lt;&gt;")=0,NA(),SUMIFS(Storico!$B$6:$B$245,Storico!$A$6:$A$245,"&gt;="&amp;A210,Storico!$A$6:$A$245,"&lt;="&amp;EOMONTH(A210,0))/COUNTIFS(Storico!$A$6:$A$245,"&gt;="&amp;A210,Storico!$A$6:$A$245,"&lt;="&amp;EOMONTH(A210,0),Storico!$B$6:$B$245,"&lt;&gt;"))</f>
        <v>9041</v>
      </c>
      <c r="AD210">
        <f>IF(AND(ISNUMBER(Movimenti!$A192),Movimenti!$L192&lt;&gt;""),Movimenti!$A192,$B$32)</f>
        <v>45596.0</v>
      </c>
      <c r="AE210">
        <f>IF(Movimenti!$L192="",0,N(Movimenti!$L192))</f>
        <v>0</v>
      </c>
    </row>
    <row r="211">
      <c r="A211">
        <f>DATE(YEAR($B$42),MONTH($B$42)-17,1)</f>
        <v>45778.0</v>
      </c>
      <c r="B211" t="str">
        <f>CHOOSE(MONTH(A211),"gen","feb","mar","apr","mag","giu","lug","ago","set","ott","nov","dic")&amp;" "&amp;RIGHT(YEAR(A211),2)</f>
        <v>mag 25</v>
      </c>
      <c r="C211">
        <f>-SUMIFS(Movimenti!$L$5:$L$1004,Movimenti!$A$5:$A$1004,"&lt;="&amp;EOMONTH(A211,0),Movimenti!$B$5:$B$1004,"&lt;&gt;Dividendo")+IF(Impostazioni!$B$7&lt;=EOMONTH(A211,0),$D$22,0)</f>
        <v>9151.28</v>
      </c>
      <c r="D211">
        <f>IF(COUNTIFS(Storico!$A$6:$A$245,"&gt;="&amp;A211,Storico!$A$6:$A$245,"&lt;="&amp;EOMONTH(A211,0),Storico!$B$6:$B$245,"&lt;&gt;")=0,NA(),SUMIFS(Storico!$B$6:$B$245,Storico!$A$6:$A$245,"&gt;="&amp;A211,Storico!$A$6:$A$245,"&lt;="&amp;EOMONTH(A211,0))/COUNTIFS(Storico!$A$6:$A$245,"&gt;="&amp;A211,Storico!$A$6:$A$245,"&lt;="&amp;EOMONTH(A211,0),Storico!$B$6:$B$245,"&lt;&gt;"))</f>
        <v>9511</v>
      </c>
      <c r="AD211">
        <f>IF(AND(ISNUMBER(Movimenti!$A193),Movimenti!$L193&lt;&gt;""),Movimenti!$A193,$B$32)</f>
        <v>45596.0</v>
      </c>
      <c r="AE211">
        <f>IF(Movimenti!$L193="",0,N(Movimenti!$L193))</f>
        <v>0</v>
      </c>
    </row>
    <row r="212">
      <c r="A212">
        <f>DATE(YEAR($B$42),MONTH($B$42)-16,1)</f>
        <v>45809.0</v>
      </c>
      <c r="B212" t="str">
        <f>CHOOSE(MONTH(A212),"gen","feb","mar","apr","mag","giu","lug","ago","set","ott","nov","dic")&amp;" "&amp;RIGHT(YEAR(A212),2)</f>
        <v>giu 25</v>
      </c>
      <c r="C212">
        <f>-SUMIFS(Movimenti!$L$5:$L$1004,Movimenti!$A$5:$A$1004,"&lt;="&amp;EOMONTH(A212,0),Movimenti!$B$5:$B$1004,"&lt;&gt;Dividendo")+IF(Impostazioni!$B$7&lt;=EOMONTH(A212,0),$D$22,0)</f>
        <v>9527.84</v>
      </c>
      <c r="D212">
        <f>IF(COUNTIFS(Storico!$A$6:$A$245,"&gt;="&amp;A212,Storico!$A$6:$A$245,"&lt;="&amp;EOMONTH(A212,0),Storico!$B$6:$B$245,"&lt;&gt;")=0,NA(),SUMIFS(Storico!$B$6:$B$245,Storico!$A$6:$A$245,"&gt;="&amp;A212,Storico!$A$6:$A$245,"&lt;="&amp;EOMONTH(A212,0))/COUNTIFS(Storico!$A$6:$A$245,"&gt;="&amp;A212,Storico!$A$6:$A$245,"&lt;="&amp;EOMONTH(A212,0),Storico!$B$6:$B$245,"&lt;&gt;"))</f>
        <v>10106</v>
      </c>
      <c r="AD212">
        <f>IF(AND(ISNUMBER(Movimenti!$A194),Movimenti!$L194&lt;&gt;""),Movimenti!$A194,$B$32)</f>
        <v>45596.0</v>
      </c>
      <c r="AE212">
        <f>IF(Movimenti!$L194="",0,N(Movimenti!$L194))</f>
        <v>0</v>
      </c>
    </row>
    <row r="213">
      <c r="A213">
        <f>DATE(YEAR($B$42),MONTH($B$42)-15,1)</f>
        <v>45839.0</v>
      </c>
      <c r="B213" t="str">
        <f>CHOOSE(MONTH(A213),"gen","feb","mar","apr","mag","giu","lug","ago","set","ott","nov","dic")&amp;" "&amp;RIGHT(YEAR(A213),2)</f>
        <v>lug 25</v>
      </c>
      <c r="C213">
        <f>-SUMIFS(Movimenti!$L$5:$L$1004,Movimenti!$A$5:$A$1004,"&lt;="&amp;EOMONTH(A213,0),Movimenti!$B$5:$B$1004,"&lt;&gt;Dividendo")+IF(Impostazioni!$B$7&lt;=EOMONTH(A213,0),$D$22,0)</f>
        <v>9891.55</v>
      </c>
      <c r="D213">
        <f>IF(COUNTIFS(Storico!$A$6:$A$245,"&gt;="&amp;A213,Storico!$A$6:$A$245,"&lt;="&amp;EOMONTH(A213,0),Storico!$B$6:$B$245,"&lt;&gt;")=0,NA(),SUMIFS(Storico!$B$6:$B$245,Storico!$A$6:$A$245,"&gt;="&amp;A213,Storico!$A$6:$A$245,"&lt;="&amp;EOMONTH(A213,0))/COUNTIFS(Storico!$A$6:$A$245,"&gt;="&amp;A213,Storico!$A$6:$A$245,"&lt;="&amp;EOMONTH(A213,0),Storico!$B$6:$B$245,"&lt;&gt;"))</f>
        <v>10349</v>
      </c>
      <c r="AD213">
        <f>IF(AND(ISNUMBER(Movimenti!$A195),Movimenti!$L195&lt;&gt;""),Movimenti!$A195,$B$32)</f>
        <v>45596.0</v>
      </c>
      <c r="AE213">
        <f>IF(Movimenti!$L195="",0,N(Movimenti!$L195))</f>
        <v>0</v>
      </c>
    </row>
    <row r="214">
      <c r="A214">
        <f>DATE(YEAR($B$42),MONTH($B$42)-14,1)</f>
        <v>45870.0</v>
      </c>
      <c r="B214" t="str">
        <f>CHOOSE(MONTH(A214),"gen","feb","mar","apr","mag","giu","lug","ago","set","ott","nov","dic")&amp;" "&amp;RIGHT(YEAR(A214),2)</f>
        <v>ago 25</v>
      </c>
      <c r="C214">
        <f>-SUMIFS(Movimenti!$L$5:$L$1004,Movimenti!$A$5:$A$1004,"&lt;="&amp;EOMONTH(A214,0),Movimenti!$B$5:$B$1004,"&lt;&gt;Dividendo")+IF(Impostazioni!$B$7&lt;=EOMONTH(A214,0),$D$22,0)</f>
        <v>10281.13</v>
      </c>
      <c r="D214">
        <f>IF(COUNTIFS(Storico!$A$6:$A$245,"&gt;="&amp;A214,Storico!$A$6:$A$245,"&lt;="&amp;EOMONTH(A214,0),Storico!$B$6:$B$245,"&lt;&gt;")=0,NA(),SUMIFS(Storico!$B$6:$B$245,Storico!$A$6:$A$245,"&gt;="&amp;A214,Storico!$A$6:$A$245,"&lt;="&amp;EOMONTH(A214,0))/COUNTIFS(Storico!$A$6:$A$245,"&gt;="&amp;A214,Storico!$A$6:$A$245,"&lt;="&amp;EOMONTH(A214,0),Storico!$B$6:$B$245,"&lt;&gt;"))</f>
        <v>10587</v>
      </c>
      <c r="AD214">
        <f>IF(AND(ISNUMBER(Movimenti!$A196),Movimenti!$L196&lt;&gt;""),Movimenti!$A196,$B$32)</f>
        <v>45596.0</v>
      </c>
      <c r="AE214">
        <f>IF(Movimenti!$L196="",0,N(Movimenti!$L196))</f>
        <v>0</v>
      </c>
    </row>
    <row r="215">
      <c r="A215">
        <f>DATE(YEAR($B$42),MONTH($B$42)-13,1)</f>
        <v>45901.0</v>
      </c>
      <c r="B215" t="str">
        <f>CHOOSE(MONTH(A215),"gen","feb","mar","apr","mag","giu","lug","ago","set","ott","nov","dic")&amp;" "&amp;RIGHT(YEAR(A215),2)</f>
        <v>set 25</v>
      </c>
      <c r="C215">
        <f>-SUMIFS(Movimenti!$L$5:$L$1004,Movimenti!$A$5:$A$1004,"&lt;="&amp;EOMONTH(A215,0),Movimenti!$B$5:$B$1004,"&lt;&gt;Dividendo")+IF(Impostazioni!$B$7&lt;=EOMONTH(A215,0),$D$22,0)</f>
        <v>10659.04</v>
      </c>
      <c r="D215">
        <f>IF(COUNTIFS(Storico!$A$6:$A$245,"&gt;="&amp;A215,Storico!$A$6:$A$245,"&lt;="&amp;EOMONTH(A215,0),Storico!$B$6:$B$245,"&lt;&gt;")=0,NA(),SUMIFS(Storico!$B$6:$B$245,Storico!$A$6:$A$245,"&gt;="&amp;A215,Storico!$A$6:$A$245,"&lt;="&amp;EOMONTH(A215,0))/COUNTIFS(Storico!$A$6:$A$245,"&gt;="&amp;A215,Storico!$A$6:$A$245,"&lt;="&amp;EOMONTH(A215,0),Storico!$B$6:$B$245,"&lt;&gt;"))</f>
        <v>11088</v>
      </c>
      <c r="AD215">
        <f>IF(AND(ISNUMBER(Movimenti!$A197),Movimenti!$L197&lt;&gt;""),Movimenti!$A197,$B$32)</f>
        <v>45596.0</v>
      </c>
      <c r="AE215">
        <f>IF(Movimenti!$L197="",0,N(Movimenti!$L197))</f>
        <v>0</v>
      </c>
    </row>
    <row r="216">
      <c r="A216">
        <f>DATE(YEAR($B$42),MONTH($B$42)-12,1)</f>
        <v>45931.0</v>
      </c>
      <c r="B216" t="str">
        <f>CHOOSE(MONTH(A216),"gen","feb","mar","apr","mag","giu","lug","ago","set","ott","nov","dic")&amp;" "&amp;RIGHT(YEAR(A216),2)</f>
        <v>ott 25</v>
      </c>
      <c r="C216">
        <f>-SUMIFS(Movimenti!$L$5:$L$1004,Movimenti!$A$5:$A$1004,"&lt;="&amp;EOMONTH(A216,0),Movimenti!$B$5:$B$1004,"&lt;&gt;Dividendo")+IF(Impostazioni!$B$7&lt;=EOMONTH(A216,0),$D$22,0)</f>
        <v>11045.44</v>
      </c>
      <c r="D216">
        <f>IF(COUNTIFS(Storico!$A$6:$A$245,"&gt;="&amp;A216,Storico!$A$6:$A$245,"&lt;="&amp;EOMONTH(A216,0),Storico!$B$6:$B$245,"&lt;&gt;")=0,NA(),SUMIFS(Storico!$B$6:$B$245,Storico!$A$6:$A$245,"&gt;="&amp;A216,Storico!$A$6:$A$245,"&lt;="&amp;EOMONTH(A216,0))/COUNTIFS(Storico!$A$6:$A$245,"&gt;="&amp;A216,Storico!$A$6:$A$245,"&lt;="&amp;EOMONTH(A216,0),Storico!$B$6:$B$245,"&lt;&gt;"))</f>
        <v>11678</v>
      </c>
      <c r="AD216">
        <f>IF(AND(ISNUMBER(Movimenti!$A198),Movimenti!$L198&lt;&gt;""),Movimenti!$A198,$B$32)</f>
        <v>45596.0</v>
      </c>
      <c r="AE216">
        <f>IF(Movimenti!$L198="",0,N(Movimenti!$L198))</f>
        <v>0</v>
      </c>
    </row>
    <row r="217">
      <c r="A217">
        <f>DATE(YEAR($B$42),MONTH($B$42)-11,1)</f>
        <v>45962.0</v>
      </c>
      <c r="B217" t="str">
        <f>CHOOSE(MONTH(A217),"gen","feb","mar","apr","mag","giu","lug","ago","set","ott","nov","dic")&amp;" "&amp;RIGHT(YEAR(A217),2)</f>
        <v>nov 25</v>
      </c>
      <c r="C217">
        <f>-SUMIFS(Movimenti!$L$5:$L$1004,Movimenti!$A$5:$A$1004,"&lt;="&amp;EOMONTH(A217,0),Movimenti!$B$5:$B$1004,"&lt;&gt;Dividendo")+IF(Impostazioni!$B$7&lt;=EOMONTH(A217,0),$D$22,0)</f>
        <v>11430.14</v>
      </c>
      <c r="D217">
        <f>IF(COUNTIFS(Storico!$A$6:$A$245,"&gt;="&amp;A217,Storico!$A$6:$A$245,"&lt;="&amp;EOMONTH(A217,0),Storico!$B$6:$B$245,"&lt;&gt;")=0,NA(),SUMIFS(Storico!$B$6:$B$245,Storico!$A$6:$A$245,"&gt;="&amp;A217,Storico!$A$6:$A$245,"&lt;="&amp;EOMONTH(A217,0))/COUNTIFS(Storico!$A$6:$A$245,"&gt;="&amp;A217,Storico!$A$6:$A$245,"&lt;="&amp;EOMONTH(A217,0),Storico!$B$6:$B$245,"&lt;&gt;"))</f>
        <v>12587</v>
      </c>
      <c r="AD217">
        <f>IF(AND(ISNUMBER(Movimenti!$A199),Movimenti!$L199&lt;&gt;""),Movimenti!$A199,$B$32)</f>
        <v>45596.0</v>
      </c>
      <c r="AE217">
        <f>IF(Movimenti!$L199="",0,N(Movimenti!$L199))</f>
        <v>0</v>
      </c>
    </row>
    <row r="218">
      <c r="A218">
        <f>DATE(YEAR($B$42),MONTH($B$42)-10,1)</f>
        <v>45992.0</v>
      </c>
      <c r="B218" t="str">
        <f>CHOOSE(MONTH(A218),"gen","feb","mar","apr","mag","giu","lug","ago","set","ott","nov","dic")&amp;" "&amp;RIGHT(YEAR(A218),2)</f>
        <v>dic 25</v>
      </c>
      <c r="C218">
        <f>-SUMIFS(Movimenti!$L$5:$L$1004,Movimenti!$A$5:$A$1004,"&lt;="&amp;EOMONTH(A218,0),Movimenti!$B$5:$B$1004,"&lt;&gt;Dividendo")+IF(Impostazioni!$B$7&lt;=EOMONTH(A218,0),$D$22,0)</f>
        <v>11789.95</v>
      </c>
      <c r="D218">
        <f>IF(COUNTIFS(Storico!$A$6:$A$245,"&gt;="&amp;A218,Storico!$A$6:$A$245,"&lt;="&amp;EOMONTH(A218,0),Storico!$B$6:$B$245,"&lt;&gt;")=0,NA(),SUMIFS(Storico!$B$6:$B$245,Storico!$A$6:$A$245,"&gt;="&amp;A218,Storico!$A$6:$A$245,"&lt;="&amp;EOMONTH(A218,0))/COUNTIFS(Storico!$A$6:$A$245,"&gt;="&amp;A218,Storico!$A$6:$A$245,"&lt;="&amp;EOMONTH(A218,0),Storico!$B$6:$B$245,"&lt;&gt;"))</f>
        <v>13269</v>
      </c>
      <c r="AD218">
        <f>IF(AND(ISNUMBER(Movimenti!$A200),Movimenti!$L200&lt;&gt;""),Movimenti!$A200,$B$32)</f>
        <v>45596.0</v>
      </c>
      <c r="AE218">
        <f>IF(Movimenti!$L200="",0,N(Movimenti!$L200))</f>
        <v>0</v>
      </c>
    </row>
    <row r="219">
      <c r="A219">
        <f>DATE(YEAR($B$42),MONTH($B$42)-9,1)</f>
        <v>46023.0</v>
      </c>
      <c r="B219" t="str">
        <f>CHOOSE(MONTH(A219),"gen","feb","mar","apr","mag","giu","lug","ago","set","ott","nov","dic")&amp;" "&amp;RIGHT(YEAR(A219),2)</f>
        <v>gen 26</v>
      </c>
      <c r="C219">
        <f>-SUMIFS(Movimenti!$L$5:$L$1004,Movimenti!$A$5:$A$1004,"&lt;="&amp;EOMONTH(A219,0),Movimenti!$B$5:$B$1004,"&lt;&gt;Dividendo")+IF(Impostazioni!$B$7&lt;=EOMONTH(A219,0),$D$22,0)</f>
        <v>12155.2</v>
      </c>
      <c r="D219">
        <f>IF(COUNTIFS(Storico!$A$6:$A$245,"&gt;="&amp;A219,Storico!$A$6:$A$245,"&lt;="&amp;EOMONTH(A219,0),Storico!$B$6:$B$245,"&lt;&gt;")=0,NA(),SUMIFS(Storico!$B$6:$B$245,Storico!$A$6:$A$245,"&gt;="&amp;A219,Storico!$A$6:$A$245,"&lt;="&amp;EOMONTH(A219,0))/COUNTIFS(Storico!$A$6:$A$245,"&gt;="&amp;A219,Storico!$A$6:$A$245,"&lt;="&amp;EOMONTH(A219,0),Storico!$B$6:$B$245,"&lt;&gt;"))</f>
        <v>13797</v>
      </c>
      <c r="AD219">
        <f>IF(AND(ISNUMBER(Movimenti!$A201),Movimenti!$L201&lt;&gt;""),Movimenti!$A201,$B$32)</f>
        <v>45596.0</v>
      </c>
      <c r="AE219">
        <f>IF(Movimenti!$L201="",0,N(Movimenti!$L201))</f>
        <v>0</v>
      </c>
    </row>
    <row r="220">
      <c r="A220">
        <f>DATE(YEAR($B$42),MONTH($B$42)-8,1)</f>
        <v>46054.0</v>
      </c>
      <c r="B220" t="str">
        <f>CHOOSE(MONTH(A220),"gen","feb","mar","apr","mag","giu","lug","ago","set","ott","nov","dic")&amp;" "&amp;RIGHT(YEAR(A220),2)</f>
        <v>feb 26</v>
      </c>
      <c r="C220">
        <f>-SUMIFS(Movimenti!$L$5:$L$1004,Movimenti!$A$5:$A$1004,"&lt;="&amp;EOMONTH(A220,0),Movimenti!$B$5:$B$1004,"&lt;&gt;Dividendo")+IF(Impostazioni!$B$7&lt;=EOMONTH(A220,0),$D$22,0)</f>
        <v>12538.6</v>
      </c>
      <c r="D220">
        <f>IF(COUNTIFS(Storico!$A$6:$A$245,"&gt;="&amp;A220,Storico!$A$6:$A$245,"&lt;="&amp;EOMONTH(A220,0),Storico!$B$6:$B$245,"&lt;&gt;")=0,NA(),SUMIFS(Storico!$B$6:$B$245,Storico!$A$6:$A$245,"&gt;="&amp;A220,Storico!$A$6:$A$245,"&lt;="&amp;EOMONTH(A220,0))/COUNTIFS(Storico!$A$6:$A$245,"&gt;="&amp;A220,Storico!$A$6:$A$245,"&lt;="&amp;EOMONTH(A220,0),Storico!$B$6:$B$245,"&lt;&gt;"))</f>
        <v>14068</v>
      </c>
      <c r="AD220">
        <f>IF(AND(ISNUMBER(Movimenti!$A202),Movimenti!$L202&lt;&gt;""),Movimenti!$A202,$B$32)</f>
        <v>45596.0</v>
      </c>
      <c r="AE220">
        <f>IF(Movimenti!$L202="",0,N(Movimenti!$L202))</f>
        <v>0</v>
      </c>
    </row>
    <row r="221">
      <c r="A221">
        <f>DATE(YEAR($B$42),MONTH($B$42)-7,1)</f>
        <v>46082.0</v>
      </c>
      <c r="B221" t="str">
        <f>CHOOSE(MONTH(A221),"gen","feb","mar","apr","mag","giu","lug","ago","set","ott","nov","dic")&amp;" "&amp;RIGHT(YEAR(A221),2)</f>
        <v>mar 26</v>
      </c>
      <c r="C221">
        <f>-SUMIFS(Movimenti!$L$5:$L$1004,Movimenti!$A$5:$A$1004,"&lt;="&amp;EOMONTH(A221,0),Movimenti!$B$5:$B$1004,"&lt;&gt;Dividendo")+IF(Impostazioni!$B$7&lt;=EOMONTH(A221,0),$D$22,0)</f>
        <v>12880</v>
      </c>
      <c r="D221">
        <f>IF(COUNTIFS(Storico!$A$6:$A$245,"&gt;="&amp;A221,Storico!$A$6:$A$245,"&lt;="&amp;EOMONTH(A221,0),Storico!$B$6:$B$245,"&lt;&gt;")=0,NA(),SUMIFS(Storico!$B$6:$B$245,Storico!$A$6:$A$245,"&gt;="&amp;A221,Storico!$A$6:$A$245,"&lt;="&amp;EOMONTH(A221,0))/COUNTIFS(Storico!$A$6:$A$245,"&gt;="&amp;A221,Storico!$A$6:$A$245,"&lt;="&amp;EOMONTH(A221,0),Storico!$B$6:$B$245,"&lt;&gt;"))</f>
        <v>15184</v>
      </c>
      <c r="AD221">
        <f>IF(AND(ISNUMBER(Movimenti!$A203),Movimenti!$L203&lt;&gt;""),Movimenti!$A203,$B$32)</f>
        <v>45596.0</v>
      </c>
      <c r="AE221">
        <f>IF(Movimenti!$L203="",0,N(Movimenti!$L203))</f>
        <v>0</v>
      </c>
    </row>
    <row r="222">
      <c r="A222">
        <f>DATE(YEAR($B$42),MONTH($B$42)-6,1)</f>
        <v>46113.0</v>
      </c>
      <c r="B222" t="str">
        <f>CHOOSE(MONTH(A222),"gen","feb","mar","apr","mag","giu","lug","ago","set","ott","nov","dic")&amp;" "&amp;RIGHT(YEAR(A222),2)</f>
        <v>apr 26</v>
      </c>
      <c r="C222">
        <f>-SUMIFS(Movimenti!$L$5:$L$1004,Movimenti!$A$5:$A$1004,"&lt;="&amp;EOMONTH(A222,0),Movimenti!$B$5:$B$1004,"&lt;&gt;Dividendo")+IF(Impostazioni!$B$7&lt;=EOMONTH(A222,0),$D$22,0)</f>
        <v>13216.95</v>
      </c>
      <c r="D222">
        <f>IF(COUNTIFS(Storico!$A$6:$A$245,"&gt;="&amp;A222,Storico!$A$6:$A$245,"&lt;="&amp;EOMONTH(A222,0),Storico!$B$6:$B$245,"&lt;&gt;")=0,NA(),SUMIFS(Storico!$B$6:$B$245,Storico!$A$6:$A$245,"&gt;="&amp;A222,Storico!$A$6:$A$245,"&lt;="&amp;EOMONTH(A222,0))/COUNTIFS(Storico!$A$6:$A$245,"&gt;="&amp;A222,Storico!$A$6:$A$245,"&lt;="&amp;EOMONTH(A222,0),Storico!$B$6:$B$245,"&lt;&gt;"))</f>
        <v>15670</v>
      </c>
      <c r="AD222">
        <f>IF(AND(ISNUMBER(Movimenti!$A204),Movimenti!$L204&lt;&gt;""),Movimenti!$A204,$B$32)</f>
        <v>45596.0</v>
      </c>
      <c r="AE222">
        <f>IF(Movimenti!$L204="",0,N(Movimenti!$L204))</f>
        <v>0</v>
      </c>
    </row>
    <row r="223">
      <c r="A223">
        <f>DATE(YEAR($B$42),MONTH($B$42)-5,1)</f>
        <v>46143.0</v>
      </c>
      <c r="B223" t="str">
        <f>CHOOSE(MONTH(A223),"gen","feb","mar","apr","mag","giu","lug","ago","set","ott","nov","dic")&amp;" "&amp;RIGHT(YEAR(A223),2)</f>
        <v>mag 26</v>
      </c>
      <c r="C223">
        <f>-SUMIFS(Movimenti!$L$5:$L$1004,Movimenti!$A$5:$A$1004,"&lt;="&amp;EOMONTH(A223,0),Movimenti!$B$5:$B$1004,"&lt;&gt;Dividendo")+IF(Impostazioni!$B$7&lt;=EOMONTH(A223,0),$D$22,0)</f>
        <v>13556.95</v>
      </c>
      <c r="D223">
        <f>IF(COUNTIFS(Storico!$A$6:$A$245,"&gt;="&amp;A223,Storico!$A$6:$A$245,"&lt;="&amp;EOMONTH(A223,0),Storico!$B$6:$B$245,"&lt;&gt;")=0,NA(),SUMIFS(Storico!$B$6:$B$245,Storico!$A$6:$A$245,"&gt;="&amp;A223,Storico!$A$6:$A$245,"&lt;="&amp;EOMONTH(A223,0))/COUNTIFS(Storico!$A$6:$A$245,"&gt;="&amp;A223,Storico!$A$6:$A$245,"&lt;="&amp;EOMONTH(A223,0),Storico!$B$6:$B$245,"&lt;&gt;"))</f>
        <v>15908</v>
      </c>
      <c r="AD223">
        <f>IF(AND(ISNUMBER(Movimenti!$A205),Movimenti!$L205&lt;&gt;""),Movimenti!$A205,$B$32)</f>
        <v>45596.0</v>
      </c>
      <c r="AE223">
        <f>IF(Movimenti!$L205="",0,N(Movimenti!$L205))</f>
        <v>0</v>
      </c>
    </row>
    <row r="224">
      <c r="A224">
        <f>DATE(YEAR($B$42),MONTH($B$42)-4,1)</f>
        <v>46174.0</v>
      </c>
      <c r="B224" t="str">
        <f>CHOOSE(MONTH(A224),"gen","feb","mar","apr","mag","giu","lug","ago","set","ott","nov","dic")&amp;" "&amp;RIGHT(YEAR(A224),2)</f>
        <v>giu 26</v>
      </c>
      <c r="C224">
        <f>-SUMIFS(Movimenti!$L$5:$L$1004,Movimenti!$A$5:$A$1004,"&lt;="&amp;EOMONTH(A224,0),Movimenti!$B$5:$B$1004,"&lt;&gt;Dividendo")+IF(Impostazioni!$B$7&lt;=EOMONTH(A224,0),$D$22,0)</f>
        <v>13884.83</v>
      </c>
      <c r="D224">
        <f>IF(COUNTIFS(Storico!$A$6:$A$245,"&gt;="&amp;A224,Storico!$A$6:$A$245,"&lt;="&amp;EOMONTH(A224,0),Storico!$B$6:$B$245,"&lt;&gt;")=0,NA(),SUMIFS(Storico!$B$6:$B$245,Storico!$A$6:$A$245,"&gt;="&amp;A224,Storico!$A$6:$A$245,"&lt;="&amp;EOMONTH(A224,0))/COUNTIFS(Storico!$A$6:$A$245,"&gt;="&amp;A224,Storico!$A$6:$A$245,"&lt;="&amp;EOMONTH(A224,0),Storico!$B$6:$B$245,"&lt;&gt;"))</f>
        <v>16093</v>
      </c>
      <c r="AD224">
        <f>IF(AND(ISNUMBER(Movimenti!$A206),Movimenti!$L206&lt;&gt;""),Movimenti!$A206,$B$32)</f>
        <v>45596.0</v>
      </c>
      <c r="AE224">
        <f>IF(Movimenti!$L206="",0,N(Movimenti!$L206))</f>
        <v>0</v>
      </c>
    </row>
    <row r="225">
      <c r="A225">
        <f>DATE(YEAR($B$42),MONTH($B$42)-3,1)</f>
        <v>46204.0</v>
      </c>
      <c r="B225" t="str">
        <f>CHOOSE(MONTH(A225),"gen","feb","mar","apr","mag","giu","lug","ago","set","ott","nov","dic")&amp;" "&amp;RIGHT(YEAR(A225),2)</f>
        <v>lug 26</v>
      </c>
      <c r="C225">
        <f>-SUMIFS(Movimenti!$L$5:$L$1004,Movimenti!$A$5:$A$1004,"&lt;="&amp;EOMONTH(A225,0),Movimenti!$B$5:$B$1004,"&lt;&gt;Dividendo")+IF(Impostazioni!$B$7&lt;=EOMONTH(A225,0),$D$22,0)</f>
        <v>14261.94</v>
      </c>
      <c r="D225">
        <f>IF(COUNTIFS(Storico!$A$6:$A$245,"&gt;="&amp;A225,Storico!$A$6:$A$245,"&lt;="&amp;EOMONTH(A225,0),Storico!$B$6:$B$245,"&lt;&gt;")=0,NA(),SUMIFS(Storico!$B$6:$B$245,Storico!$A$6:$A$245,"&gt;="&amp;A225,Storico!$A$6:$A$245,"&lt;="&amp;EOMONTH(A225,0))/COUNTIFS(Storico!$A$6:$A$245,"&gt;="&amp;A225,Storico!$A$6:$A$245,"&lt;="&amp;EOMONTH(A225,0),Storico!$B$6:$B$245,"&lt;&gt;"))</f>
        <v>16605</v>
      </c>
      <c r="AD225">
        <f>IF(AND(ISNUMBER(Movimenti!$A207),Movimenti!$L207&lt;&gt;""),Movimenti!$A207,$B$32)</f>
        <v>45596.0</v>
      </c>
      <c r="AE225">
        <f>IF(Movimenti!$L207="",0,N(Movimenti!$L207))</f>
        <v>0</v>
      </c>
    </row>
    <row r="226">
      <c r="A226">
        <f>DATE(YEAR($B$42),MONTH($B$42)-2,1)</f>
        <v>46235.0</v>
      </c>
      <c r="B226" t="str">
        <f>CHOOSE(MONTH(A226),"gen","feb","mar","apr","mag","giu","lug","ago","set","ott","nov","dic")&amp;" "&amp;RIGHT(YEAR(A226),2)</f>
        <v>ago 26</v>
      </c>
      <c r="C226">
        <f>-SUMIFS(Movimenti!$L$5:$L$1004,Movimenti!$A$5:$A$1004,"&lt;="&amp;EOMONTH(A226,0),Movimenti!$B$5:$B$1004,"&lt;&gt;Dividendo")+IF(Impostazioni!$B$7&lt;=EOMONTH(A226,0),$D$22,0)</f>
        <v>14639.82</v>
      </c>
      <c r="D226">
        <f>IF(COUNTIFS(Storico!$A$6:$A$245,"&gt;="&amp;A226,Storico!$A$6:$A$245,"&lt;="&amp;EOMONTH(A226,0),Storico!$B$6:$B$245,"&lt;&gt;")=0,NA(),SUMIFS(Storico!$B$6:$B$245,Storico!$A$6:$A$245,"&gt;="&amp;A226,Storico!$A$6:$A$245,"&lt;="&amp;EOMONTH(A226,0))/COUNTIFS(Storico!$A$6:$A$245,"&gt;="&amp;A226,Storico!$A$6:$A$245,"&lt;="&amp;EOMONTH(A226,0),Storico!$B$6:$B$245,"&lt;&gt;"))</f>
        <v>16992</v>
      </c>
      <c r="AD226">
        <f>IF(AND(ISNUMBER(Movimenti!$A208),Movimenti!$L208&lt;&gt;""),Movimenti!$A208,$B$32)</f>
        <v>45596.0</v>
      </c>
      <c r="AE226">
        <f>IF(Movimenti!$L208="",0,N(Movimenti!$L208))</f>
        <v>0</v>
      </c>
    </row>
    <row r="227">
      <c r="A227">
        <f>DATE(YEAR($B$42),MONTH($B$42)-1,1)</f>
        <v>46266.0</v>
      </c>
      <c r="B227" t="str">
        <f>CHOOSE(MONTH(A227),"gen","feb","mar","apr","mag","giu","lug","ago","set","ott","nov","dic")&amp;" "&amp;RIGHT(YEAR(A227),2)</f>
        <v>set 26</v>
      </c>
      <c r="C227">
        <f>-SUMIFS(Movimenti!$L$5:$L$1004,Movimenti!$A$5:$A$1004,"&lt;="&amp;EOMONTH(A227,0),Movimenti!$B$5:$B$1004,"&lt;&gt;Dividendo")+IF(Impostazioni!$B$7&lt;=EOMONTH(A227,0),$D$22,0)</f>
        <v>14331.08</v>
      </c>
      <c r="D227">
        <f>IF(COUNTIFS(Storico!$A$6:$A$245,"&gt;="&amp;A227,Storico!$A$6:$A$245,"&lt;="&amp;EOMONTH(A227,0),Storico!$B$6:$B$245,"&lt;&gt;")=0,NA(),SUMIFS(Storico!$B$6:$B$245,Storico!$A$6:$A$245,"&gt;="&amp;A227,Storico!$A$6:$A$245,"&lt;="&amp;EOMONTH(A227,0))/COUNTIFS(Storico!$A$6:$A$245,"&gt;="&amp;A227,Storico!$A$6:$A$245,"&lt;="&amp;EOMONTH(A227,0),Storico!$B$6:$B$245,"&lt;&gt;"))</f>
        <v>16663</v>
      </c>
      <c r="AD227">
        <f>IF(AND(ISNUMBER(Movimenti!$A209),Movimenti!$L209&lt;&gt;""),Movimenti!$A209,$B$32)</f>
        <v>45596.0</v>
      </c>
      <c r="AE227">
        <f>IF(Movimenti!$L209="",0,N(Movimenti!$L209))</f>
        <v>0</v>
      </c>
    </row>
    <row r="228">
      <c r="A228">
        <f>DATE(YEAR($B$42),MONTH($B$42)-0,1)</f>
        <v>46296.0</v>
      </c>
      <c r="B228" t="str">
        <f>CHOOSE(MONTH(A228),"gen","feb","mar","apr","mag","giu","lug","ago","set","ott","nov","dic")&amp;" "&amp;RIGHT(YEAR(A228),2)</f>
        <v>ott 26</v>
      </c>
      <c r="C228">
        <f>-SUMIFS(Movimenti!$L$5:$L$1004,Movimenti!$A$5:$A$1004,"&lt;="&amp;EOMONTH(A228,0),Movimenti!$B$5:$B$1004,"&lt;&gt;Dividendo")+IF(Impostazioni!$B$7&lt;=EOMONTH(A228,0),$D$22,0)</f>
        <v>14708.9</v>
      </c>
      <c r="D228">
        <f>$J$22</f>
        <v>17074.29</v>
      </c>
      <c r="AD228">
        <f>IF(AND(ISNUMBER(Movimenti!$A210),Movimenti!$L210&lt;&gt;""),Movimenti!$A210,$B$32)</f>
        <v>45596.0</v>
      </c>
      <c r="AE228">
        <f>IF(Movimenti!$L210="",0,N(Movimenti!$L210))</f>
        <v>0</v>
      </c>
    </row>
    <row r="229">
      <c r="AD229">
        <f>IF(AND(ISNUMBER(Movimenti!$A211),Movimenti!$L211&lt;&gt;""),Movimenti!$A211,$B$32)</f>
        <v>45596.0</v>
      </c>
      <c r="AE229">
        <f>IF(Movimenti!$L211="",0,N(Movimenti!$L211))</f>
        <v>0</v>
      </c>
    </row>
    <row r="230">
      <c r="AD230">
        <f>IF(AND(ISNUMBER(Movimenti!$A212),Movimenti!$L212&lt;&gt;""),Movimenti!$A212,$B$32)</f>
        <v>45596.0</v>
      </c>
      <c r="AE230">
        <f>IF(Movimenti!$L212="",0,N(Movimenti!$L212))</f>
        <v>0</v>
      </c>
    </row>
    <row r="231">
      <c r="AD231">
        <f>IF(AND(ISNUMBER(Movimenti!$A213),Movimenti!$L213&lt;&gt;""),Movimenti!$A213,$B$32)</f>
        <v>45596.0</v>
      </c>
      <c r="AE231">
        <f>IF(Movimenti!$L213="",0,N(Movimenti!$L213))</f>
        <v>0</v>
      </c>
    </row>
    <row r="232">
      <c r="AD232">
        <f>IF(AND(ISNUMBER(Movimenti!$A214),Movimenti!$L214&lt;&gt;""),Movimenti!$A214,$B$32)</f>
        <v>45596.0</v>
      </c>
      <c r="AE232">
        <f>IF(Movimenti!$L214="",0,N(Movimenti!$L214))</f>
        <v>0</v>
      </c>
    </row>
    <row r="233">
      <c r="AD233">
        <f>IF(AND(ISNUMBER(Movimenti!$A215),Movimenti!$L215&lt;&gt;""),Movimenti!$A215,$B$32)</f>
        <v>45596.0</v>
      </c>
      <c r="AE233">
        <f>IF(Movimenti!$L215="",0,N(Movimenti!$L215))</f>
        <v>0</v>
      </c>
    </row>
    <row r="234">
      <c r="AD234">
        <f>IF(AND(ISNUMBER(Movimenti!$A216),Movimenti!$L216&lt;&gt;""),Movimenti!$A216,$B$32)</f>
        <v>45596.0</v>
      </c>
      <c r="AE234">
        <f>IF(Movimenti!$L216="",0,N(Movimenti!$L216))</f>
        <v>0</v>
      </c>
    </row>
    <row r="235">
      <c r="A235" t="str">
        <f>IF($B$43=0,"Inserisci i tuoi ETF nel foglio «ETF»: qui comparirà il riepilogo.","")</f>
        <v/>
      </c>
      <c r="B235" t="str">
        <f>IF(A235="","",ROW())</f>
        <v/>
      </c>
      <c r="AD235">
        <f>IF(AND(ISNUMBER(Movimenti!$A217),Movimenti!$L217&lt;&gt;""),Movimenti!$A217,$B$32)</f>
        <v>45596.0</v>
      </c>
      <c r="AE235">
        <f>IF(Movimenti!$L217="",0,N(Movimenti!$L217))</f>
        <v>0</v>
      </c>
    </row>
    <row r="236">
      <c r="A236" t="str">
        <f>IF(AND($B$43&gt;0,ROUND($L$22,4)&lt;&gt;1),IF(Impostazioni!$B$11="Per classe","⚠  I pesi delle classi che hanno ETF fanno ","⚠  I pesi obiettivo fanno ")&amp;ROUND($L$22*100,1)&amp;"% invece di 100%: i calcoli li riportano in proporzione.","")</f>
        <v/>
      </c>
      <c r="B236" t="str">
        <f>IF(A236="","",ROW())</f>
        <v/>
      </c>
      <c r="AD236">
        <f>IF(AND(ISNUMBER(Movimenti!$A218),Movimenti!$L218&lt;&gt;""),Movimenti!$A218,$B$32)</f>
        <v>45596.0</v>
      </c>
      <c r="AE236">
        <f>IF(Movimenti!$L218="",0,N(Movimenti!$L218))</f>
        <v>0</v>
      </c>
    </row>
    <row r="237">
      <c r="A237" t="str">
        <f>IF(AND(Impostazioni!$B$11="Per classe",SUMPRODUCT(($B$7:$B$21=1)*($L$7:$L$21=0))&gt;0),"⚠  "&amp;SUMPRODUCT(($B$7:$B$21=1)*($L$7:$L$21=0))&amp;" ETF hanno obiettivo zero: la loro classe non ha un peso in Impostazioni.","")</f>
        <v/>
      </c>
      <c r="B237" t="str">
        <f>IF(A237="","",ROW())</f>
        <v/>
      </c>
      <c r="AD237">
        <f>IF(AND(ISNUMBER(Movimenti!$A219),Movimenti!$L219&lt;&gt;""),Movimenti!$A219,$B$32)</f>
        <v>45596.0</v>
      </c>
      <c r="AE237">
        <f>IF(Movimenti!$L219="",0,N(Movimenti!$L219))</f>
        <v>0</v>
      </c>
    </row>
    <row r="238">
      <c r="A238" t="str">
        <f>IF(AND(Impostazioni!$B$11="Per classe",SUMPRODUCT((Impostazioni!$F$5:$F$14&gt;0)*(COUNTIFS(ETF!$D$7:$D$21,Impostazioni!$E$5:$E$14,ETF!$A$7:$A$21,"&lt;&gt;")=0))&gt;0),"⚠  Alcune classi hanno un peso ma nessun ETF: il loro peso va alle altre classi.","")</f>
        <v/>
      </c>
      <c r="B238" t="str">
        <f>IF(A238="","",ROW())</f>
        <v/>
      </c>
      <c r="AD238">
        <f>IF(AND(ISNUMBER(Movimenti!$A220),Movimenti!$L220&lt;&gt;""),Movimenti!$A220,$B$32)</f>
        <v>45596.0</v>
      </c>
      <c r="AE238">
        <f>IF(Movimenti!$L220="",0,N(Movimenti!$L220))</f>
        <v>0</v>
      </c>
    </row>
    <row r="239">
      <c r="A239" t="str">
        <f>IF(SUMPRODUCT(($B$7:$B$21=1)*($I$7:$I$21&lt;=0)*($F$7:$F$21&gt;0))&gt;0,"⚠  Manca il prezzo di "&amp;SUMPRODUCT(($B$7:$B$21=1)*($I$7:$I$21&lt;=0)*($F$7:$F$21&gt;0))&amp;" ETF nel foglio ETF: il loro valore conta zero.","")</f>
        <v/>
      </c>
      <c r="B239" t="str">
        <f>IF(A239="","",ROW())</f>
        <v/>
      </c>
      <c r="AD239">
        <f>IF(AND(ISNUMBER(Movimenti!$A221),Movimenti!$L221&lt;&gt;""),Movimenti!$A221,$B$32)</f>
        <v>45596.0</v>
      </c>
      <c r="AE239">
        <f>IF(Movimenti!$L221="",0,N(Movimenti!$L221))</f>
        <v>0</v>
      </c>
    </row>
    <row r="240">
      <c r="A240" t="str">
        <f>IF(SUMPRODUCT((Movimenti!$M$5:$M$1004&lt;&gt;"")*(Movimenti!$M$5:$M$1004&lt;&gt;"✓"))&gt;0,"⚠  "&amp;SUMPRODUCT((Movimenti!$M$5:$M$1004&lt;&gt;"")*(Movimenti!$M$5:$M$1004&lt;&gt;"✓"))&amp;" movimenti da controllare: guarda la colonna «Controllo» nel foglio Movimenti.","")</f>
        <v/>
      </c>
      <c r="B240" t="str">
        <f>IF(A240="","",ROW())</f>
        <v/>
      </c>
      <c r="AD240">
        <f>IF(AND(ISNUMBER(Movimenti!$A222),Movimenti!$L222&lt;&gt;""),Movimenti!$A222,$B$32)</f>
        <v>45596.0</v>
      </c>
      <c r="AE240">
        <f>IF(Movimenti!$L222="",0,N(Movimenti!$L222))</f>
        <v>0</v>
      </c>
    </row>
    <row r="241">
      <c r="A241" t="str">
        <f>IF(SUMPRODUCT((ETF!$A$7:$A$21&lt;&gt;"")*(COUNTIF(ETF!$A$7:$A$21,ETF!$A$7:$A$21)&gt;1))&gt;0,"⚠  Due ETF hanno lo stesso nome breve: rinominane uno.","")</f>
        <v/>
      </c>
      <c r="B241" t="str">
        <f>IF(A241="","",ROW())</f>
        <v/>
      </c>
      <c r="AD241">
        <f>IF(AND(ISNUMBER(Movimenti!$A223),Movimenti!$L223&lt;&gt;""),Movimenti!$A223,$B$32)</f>
        <v>45596.0</v>
      </c>
      <c r="AE241">
        <f>IF(Movimenti!$L223="",0,N(Movimenti!$L223))</f>
        <v>0</v>
      </c>
    </row>
    <row r="242">
      <c r="A242" t="str">
        <f>IF(MAX(Movimenti!$A$5:$A$1004)&gt;$B$42,"⚠  Ci sono movimenti dopo la data dei prezzi: aggiorna i prezzi e la data in Impostazioni.","")</f>
        <v/>
      </c>
      <c r="B242" t="str">
        <f>IF(A242="","",ROW())</f>
        <v/>
      </c>
      <c r="AD242">
        <f>IF(AND(ISNUMBER(Movimenti!$A224),Movimenti!$L224&lt;&gt;""),Movimenti!$A224,$B$32)</f>
        <v>45596.0</v>
      </c>
      <c r="AE242">
        <f>IF(Movimenti!$L224="",0,N(Movimenti!$L224))</f>
        <v>0</v>
      </c>
    </row>
    <row r="243">
      <c r="A243" t="str">
        <f>IFERROR(INDEX($A$1:$A$242,SMALL($B$235:$B$242,1)),"")</f>
        <v/>
      </c>
      <c r="AD243">
        <f>IF(AND(ISNUMBER(Movimenti!$A225),Movimenti!$L225&lt;&gt;""),Movimenti!$A225,$B$32)</f>
        <v>45596.0</v>
      </c>
      <c r="AE243">
        <f>IF(Movimenti!$L225="",0,N(Movimenti!$L225))</f>
        <v>0</v>
      </c>
    </row>
    <row r="244">
      <c r="A244" t="str">
        <f>IFERROR(INDEX($A$1:$A$242,SMALL($B$235:$B$242,2)),"")</f>
        <v/>
      </c>
      <c r="AD244">
        <f>IF(AND(ISNUMBER(Movimenti!$A226),Movimenti!$L226&lt;&gt;""),Movimenti!$A226,$B$32)</f>
        <v>45596.0</v>
      </c>
      <c r="AE244">
        <f>IF(Movimenti!$L226="",0,N(Movimenti!$L226))</f>
        <v>0</v>
      </c>
    </row>
    <row r="245">
      <c r="AD245">
        <f>IF(AND(ISNUMBER(Movimenti!$A227),Movimenti!$L227&lt;&gt;""),Movimenti!$A227,$B$32)</f>
        <v>45596.0</v>
      </c>
      <c r="AE245">
        <f>IF(Movimenti!$L227="",0,N(Movimenti!$L227))</f>
        <v>0</v>
      </c>
    </row>
    <row r="246">
      <c r="AD246">
        <f>IF(AND(ISNUMBER(Movimenti!$A228),Movimenti!$L228&lt;&gt;""),Movimenti!$A228,$B$32)</f>
        <v>45596.0</v>
      </c>
      <c r="AE246">
        <f>IF(Movimenti!$L228="",0,N(Movimenti!$L228))</f>
        <v>0</v>
      </c>
    </row>
    <row r="247">
      <c r="AD247">
        <f>IF(AND(ISNUMBER(Movimenti!$A229),Movimenti!$L229&lt;&gt;""),Movimenti!$A229,$B$32)</f>
        <v>45596.0</v>
      </c>
      <c r="AE247">
        <f>IF(Movimenti!$L229="",0,N(Movimenti!$L229))</f>
        <v>0</v>
      </c>
    </row>
    <row r="248">
      <c r="AD248">
        <f>IF(AND(ISNUMBER(Movimenti!$A230),Movimenti!$L230&lt;&gt;""),Movimenti!$A230,$B$32)</f>
        <v>45596.0</v>
      </c>
      <c r="AE248">
        <f>IF(Movimenti!$L230="",0,N(Movimenti!$L230))</f>
        <v>0</v>
      </c>
    </row>
    <row r="249">
      <c r="A249" t="inlineStr">
        <is>
          <t>DIVIDENDI</t>
        </is>
      </c>
      <c r="AD249">
        <f>IF(AND(ISNUMBER(Movimenti!$A231),Movimenti!$L231&lt;&gt;""),Movimenti!$A231,$B$32)</f>
        <v>45596.0</v>
      </c>
      <c r="AE249">
        <f>IF(Movimenti!$L231="",0,N(Movimenti!$L231))</f>
        <v>0</v>
      </c>
    </row>
    <row r="250">
      <c r="A250" t="inlineStr">
        <is>
          <t>Anno scelto</t>
        </is>
      </c>
      <c r="B250">
        <f>IF(ISNUMBER(Dividendi!$G$7),ROUND(Dividendi!$G$7,0),YEAR($B$42))</f>
        <v>2026</v>
      </c>
      <c r="AD250">
        <f>IF(AND(ISNUMBER(Movimenti!$A232),Movimenti!$L232&lt;&gt;""),Movimenti!$A232,$B$32)</f>
        <v>45596.0</v>
      </c>
      <c r="AE250">
        <f>IF(Movimenti!$L232="",0,N(Movimenti!$L232))</f>
        <v>0</v>
      </c>
    </row>
    <row r="251">
      <c r="A251" t="inlineStr">
        <is>
          <t>Dividendi lordi?</t>
        </is>
      </c>
      <c r="B251">
        <f>IF(Dividendi!$G$8="Lordi",1,0)</f>
        <v>0</v>
      </c>
      <c r="AD251">
        <f>IF(AND(ISNUMBER(Movimenti!$A233),Movimenti!$L233&lt;&gt;""),Movimenti!$A233,$B$32)</f>
        <v>45596.0</v>
      </c>
      <c r="AE251">
        <f>IF(Movimenti!$L233="",0,N(Movimenti!$L233))</f>
        <v>0</v>
      </c>
    </row>
    <row r="252">
      <c r="A252" t="inlineStr">
        <is>
          <t>Ultimo anno</t>
        </is>
      </c>
      <c r="B252">
        <f>YEAR($B$42)</f>
        <v>2026</v>
      </c>
      <c r="AD252">
        <f>IF(AND(ISNUMBER(Movimenti!$A234),Movimenti!$L234&lt;&gt;""),Movimenti!$A234,$B$32)</f>
        <v>45596.0</v>
      </c>
      <c r="AE252">
        <f>IF(Movimenti!$L234="",0,N(Movimenti!$L234))</f>
        <v>0</v>
      </c>
    </row>
    <row r="253">
      <c r="A253" t="inlineStr">
        <is>
          <t>Primo anno</t>
        </is>
      </c>
      <c r="B253">
        <f>IF(COUNT(Movimenti!$W$5:$W$1004)=0,B252,MIN(B252,YEAR(MIN(Movimenti!$W$5:$W$1004))))</f>
        <v>2024</v>
      </c>
      <c r="AD253">
        <f>IF(AND(ISNUMBER(Movimenti!$A235),Movimenti!$L235&lt;&gt;""),Movimenti!$A235,$B$32)</f>
        <v>45596.0</v>
      </c>
      <c r="AE253">
        <f>IF(Movimenti!$L235="",0,N(Movimenti!$L235))</f>
        <v>0</v>
      </c>
    </row>
    <row r="254">
      <c r="A254" t="inlineStr">
        <is>
          <t>Anni in tabella</t>
        </is>
      </c>
      <c r="B254">
        <f>MIN(8,B252-B253+1)</f>
        <v>3</v>
      </c>
      <c r="AD254">
        <f>IF(AND(ISNUMBER(Movimenti!$A236),Movimenti!$L236&lt;&gt;""),Movimenti!$A236,$B$32)</f>
        <v>45596.0</v>
      </c>
      <c r="AE254">
        <f>IF(Movimenti!$L236="",0,N(Movimenti!$L236))</f>
        <v>0</v>
      </c>
    </row>
    <row r="255">
      <c r="A255" t="inlineStr">
        <is>
          <t>Stesso periodo dell’anno prima</t>
        </is>
      </c>
      <c r="B255">
        <f>SUMIFS(Movimenti!$V$5:$V$1004,Movimenti!$A$5:$A$1004,"&gt;="&amp;DATE(B252-1,1,1),Movimenti!$A$5:$A$1004,"&lt;="&amp;DATE(B252-1,MONTH($B$42),DAY($B$42)))</f>
        <v>28.17</v>
      </c>
      <c r="AD255">
        <f>IF(AND(ISNUMBER(Movimenti!$A237),Movimenti!$L237&lt;&gt;""),Movimenti!$A237,$B$32)</f>
        <v>45596.0</v>
      </c>
      <c r="AE255">
        <f>IF(Movimenti!$L237="",0,N(Movimenti!$L237))</f>
        <v>0</v>
      </c>
    </row>
    <row r="256">
      <c r="A256">
        <f>IF(0&lt;$B$254,$B$252-$B$254+1+0,"")</f>
        <v>2024</v>
      </c>
      <c r="B256">
        <f>IF($A256="","",SUMIFS(Movimenti!$V$5:$V$1004,Movimenti!$A$5:$A$1004,"&gt;="&amp;DATE($A256,1,1),Movimenti!$A$5:$A$1004,"&lt;"&amp;DATE($A256,1+1,1)))</f>
        <v>0</v>
      </c>
      <c r="C256">
        <f>IF($A256="","",SUMIFS(Movimenti!$V$5:$V$1004,Movimenti!$A$5:$A$1004,"&gt;="&amp;DATE($A256,2,1),Movimenti!$A$5:$A$1004,"&lt;"&amp;DATE($A256,2+1,1)))</f>
        <v>0</v>
      </c>
      <c r="D256">
        <f>IF($A256="","",SUMIFS(Movimenti!$V$5:$V$1004,Movimenti!$A$5:$A$1004,"&gt;="&amp;DATE($A256,3,1),Movimenti!$A$5:$A$1004,"&lt;"&amp;DATE($A256,3+1,1)))</f>
        <v>0</v>
      </c>
      <c r="E256">
        <f>IF($A256="","",SUMIFS(Movimenti!$V$5:$V$1004,Movimenti!$A$5:$A$1004,"&gt;="&amp;DATE($A256,4,1),Movimenti!$A$5:$A$1004,"&lt;"&amp;DATE($A256,4+1,1)))</f>
        <v>0</v>
      </c>
      <c r="F256">
        <f>IF($A256="","",SUMIFS(Movimenti!$V$5:$V$1004,Movimenti!$A$5:$A$1004,"&gt;="&amp;DATE($A256,5,1),Movimenti!$A$5:$A$1004,"&lt;"&amp;DATE($A256,5+1,1)))</f>
        <v>0</v>
      </c>
      <c r="G256">
        <f>IF($A256="","",SUMIFS(Movimenti!$V$5:$V$1004,Movimenti!$A$5:$A$1004,"&gt;="&amp;DATE($A256,6,1),Movimenti!$A$5:$A$1004,"&lt;"&amp;DATE($A256,6+1,1)))</f>
        <v>0</v>
      </c>
      <c r="H256">
        <f>IF($A256="","",SUMIFS(Movimenti!$V$5:$V$1004,Movimenti!$A$5:$A$1004,"&gt;="&amp;DATE($A256,7,1),Movimenti!$A$5:$A$1004,"&lt;"&amp;DATE($A256,7+1,1)))</f>
        <v>0</v>
      </c>
      <c r="I256">
        <f>IF($A256="","",SUMIFS(Movimenti!$V$5:$V$1004,Movimenti!$A$5:$A$1004,"&gt;="&amp;DATE($A256,8,1),Movimenti!$A$5:$A$1004,"&lt;"&amp;DATE($A256,8+1,1)))</f>
        <v>0</v>
      </c>
      <c r="J256">
        <f>IF($A256="","",SUMIFS(Movimenti!$V$5:$V$1004,Movimenti!$A$5:$A$1004,"&gt;="&amp;DATE($A256,9,1),Movimenti!$A$5:$A$1004,"&lt;"&amp;DATE($A256,9+1,1)))</f>
        <v>0</v>
      </c>
      <c r="K256">
        <f>IF($A256="","",SUMIFS(Movimenti!$V$5:$V$1004,Movimenti!$A$5:$A$1004,"&gt;="&amp;DATE($A256,10,1),Movimenti!$A$5:$A$1004,"&lt;"&amp;DATE($A256,10+1,1)))</f>
        <v>0</v>
      </c>
      <c r="L256">
        <f>IF($A256="","",SUMIFS(Movimenti!$V$5:$V$1004,Movimenti!$A$5:$A$1004,"&gt;="&amp;DATE($A256,11,1),Movimenti!$A$5:$A$1004,"&lt;"&amp;DATE($A256,11+1,1)))</f>
        <v>0</v>
      </c>
      <c r="M256">
        <f>IF($A256="","",SUMIFS(Movimenti!$V$5:$V$1004,Movimenti!$A$5:$A$1004,"&gt;="&amp;DATE($A256,12,1),Movimenti!$A$5:$A$1004,"&lt;"&amp;DATE($A256,12+1,1)))</f>
        <v>17.87</v>
      </c>
      <c r="N256">
        <f>IF($A256="","",SUM(B256:M256))</f>
        <v>17.87</v>
      </c>
      <c r="O256" t="str">
        <f>IF($A256="","",IF($A256=$B$252,IF($B$255&gt;0,N256/$B$255-1,""),IF(SUMIFS(Movimenti!$V$5:$V$1004,Movimenti!$A$5:$A$1004,"&gt;="&amp;DATE($A256-1,1,1),Movimenti!$A$5:$A$1004,"&lt;"&amp;DATE($A256-1+1,1,1))&gt;0,N256/SUMIFS(Movimenti!$V$5:$V$1004,Movimenti!$A$5:$A$1004,"&gt;="&amp;DATE($A256-1,1,1),Movimenti!$A$5:$A$1004,"&lt;"&amp;DATE($A256-1+1,1,1))-1,"")))</f>
        <v/>
      </c>
      <c r="AD256">
        <f>IF(AND(ISNUMBER(Movimenti!$A238),Movimenti!$L238&lt;&gt;""),Movimenti!$A238,$B$32)</f>
        <v>45596.0</v>
      </c>
      <c r="AE256">
        <f>IF(Movimenti!$L238="",0,N(Movimenti!$L238))</f>
        <v>0</v>
      </c>
    </row>
    <row r="257">
      <c r="A257">
        <f>IF(1&lt;$B$254,$B$252-$B$254+1+1,"")</f>
        <v>2025</v>
      </c>
      <c r="B257">
        <f>IF($A257="","",SUMIFS(Movimenti!$V$5:$V$1004,Movimenti!$A$5:$A$1004,"&gt;="&amp;DATE($A257,1,1),Movimenti!$A$5:$A$1004,"&lt;"&amp;DATE($A257,1+1,1)))</f>
        <v>0</v>
      </c>
      <c r="C257">
        <f>IF($A257="","",SUMIFS(Movimenti!$V$5:$V$1004,Movimenti!$A$5:$A$1004,"&gt;="&amp;DATE($A257,2,1),Movimenti!$A$5:$A$1004,"&lt;"&amp;DATE($A257,2+1,1)))</f>
        <v>0</v>
      </c>
      <c r="D257">
        <f>IF($A257="","",SUMIFS(Movimenti!$V$5:$V$1004,Movimenti!$A$5:$A$1004,"&gt;="&amp;DATE($A257,3,1),Movimenti!$A$5:$A$1004,"&lt;"&amp;DATE($A257,3+1,1)))</f>
        <v>3.02</v>
      </c>
      <c r="E257">
        <f>IF($A257="","",SUMIFS(Movimenti!$V$5:$V$1004,Movimenti!$A$5:$A$1004,"&gt;="&amp;DATE($A257,4,1),Movimenti!$A$5:$A$1004,"&lt;"&amp;DATE($A257,4+1,1)))</f>
        <v>0</v>
      </c>
      <c r="F257">
        <f>IF($A257="","",SUMIFS(Movimenti!$V$5:$V$1004,Movimenti!$A$5:$A$1004,"&gt;="&amp;DATE($A257,5,1),Movimenti!$A$5:$A$1004,"&lt;"&amp;DATE($A257,5+1,1)))</f>
        <v>0</v>
      </c>
      <c r="G257">
        <f>IF($A257="","",SUMIFS(Movimenti!$V$5:$V$1004,Movimenti!$A$5:$A$1004,"&gt;="&amp;DATE($A257,6,1),Movimenti!$A$5:$A$1004,"&lt;"&amp;DATE($A257,6+1,1)))</f>
        <v>20.18</v>
      </c>
      <c r="H257">
        <f>IF($A257="","",SUMIFS(Movimenti!$V$5:$V$1004,Movimenti!$A$5:$A$1004,"&gt;="&amp;DATE($A257,7,1),Movimenti!$A$5:$A$1004,"&lt;"&amp;DATE($A257,7+1,1)))</f>
        <v>0</v>
      </c>
      <c r="I257">
        <f>IF($A257="","",SUMIFS(Movimenti!$V$5:$V$1004,Movimenti!$A$5:$A$1004,"&gt;="&amp;DATE($A257,8,1),Movimenti!$A$5:$A$1004,"&lt;"&amp;DATE($A257,8+1,1)))</f>
        <v>0</v>
      </c>
      <c r="J257">
        <f>IF($A257="","",SUMIFS(Movimenti!$V$5:$V$1004,Movimenti!$A$5:$A$1004,"&gt;="&amp;DATE($A257,9,1),Movimenti!$A$5:$A$1004,"&lt;"&amp;DATE($A257,9+1,1)))</f>
        <v>4.97</v>
      </c>
      <c r="K257">
        <f>IF($A257="","",SUMIFS(Movimenti!$V$5:$V$1004,Movimenti!$A$5:$A$1004,"&gt;="&amp;DATE($A257,10,1),Movimenti!$A$5:$A$1004,"&lt;"&amp;DATE($A257,10+1,1)))</f>
        <v>0</v>
      </c>
      <c r="L257">
        <f>IF($A257="","",SUMIFS(Movimenti!$V$5:$V$1004,Movimenti!$A$5:$A$1004,"&gt;="&amp;DATE($A257,11,1),Movimenti!$A$5:$A$1004,"&lt;"&amp;DATE($A257,11+1,1)))</f>
        <v>0</v>
      </c>
      <c r="M257">
        <f>IF($A257="","",SUMIFS(Movimenti!$V$5:$V$1004,Movimenti!$A$5:$A$1004,"&gt;="&amp;DATE($A257,12,1),Movimenti!$A$5:$A$1004,"&lt;"&amp;DATE($A257,12+1,1)))</f>
        <v>22.51</v>
      </c>
      <c r="N257">
        <f>IF($A257="","",SUM(B257:M257))</f>
        <v>50.68</v>
      </c>
      <c r="O257">
        <f>IF($A257="","",IF($A257=$B$252,IF($B$255&gt;0,N257/$B$255-1,""),IF(SUMIFS(Movimenti!$V$5:$V$1004,Movimenti!$A$5:$A$1004,"&gt;="&amp;DATE($A257-1,1,1),Movimenti!$A$5:$A$1004,"&lt;"&amp;DATE($A257-1+1,1,1))&gt;0,N257/SUMIFS(Movimenti!$V$5:$V$1004,Movimenti!$A$5:$A$1004,"&gt;="&amp;DATE($A257-1,1,1),Movimenti!$A$5:$A$1004,"&lt;"&amp;DATE($A257-1+1,1,1))-1,"")))</f>
        <v>1.83603805260213</v>
      </c>
      <c r="AD257">
        <f>IF(AND(ISNUMBER(Movimenti!$A239),Movimenti!$L239&lt;&gt;""),Movimenti!$A239,$B$32)</f>
        <v>45596.0</v>
      </c>
      <c r="AE257">
        <f>IF(Movimenti!$L239="",0,N(Movimenti!$L239))</f>
        <v>0</v>
      </c>
    </row>
    <row r="258">
      <c r="A258">
        <f>IF(2&lt;$B$254,$B$252-$B$254+1+2,"")</f>
        <v>2026</v>
      </c>
      <c r="B258">
        <f>IF($A258="","",SUMIFS(Movimenti!$V$5:$V$1004,Movimenti!$A$5:$A$1004,"&gt;="&amp;DATE($A258,1,1),Movimenti!$A$5:$A$1004,"&lt;"&amp;DATE($A258,1+1,1)))</f>
        <v>0</v>
      </c>
      <c r="C258">
        <f>IF($A258="","",SUMIFS(Movimenti!$V$5:$V$1004,Movimenti!$A$5:$A$1004,"&gt;="&amp;DATE($A258,2,1),Movimenti!$A$5:$A$1004,"&lt;"&amp;DATE($A258,2+1,1)))</f>
        <v>0</v>
      </c>
      <c r="D258">
        <f>IF($A258="","",SUMIFS(Movimenti!$V$5:$V$1004,Movimenti!$A$5:$A$1004,"&gt;="&amp;DATE($A258,3,1),Movimenti!$A$5:$A$1004,"&lt;"&amp;DATE($A258,3+1,1)))</f>
        <v>6.22</v>
      </c>
      <c r="E258">
        <f>IF($A258="","",SUMIFS(Movimenti!$V$5:$V$1004,Movimenti!$A$5:$A$1004,"&gt;="&amp;DATE($A258,4,1),Movimenti!$A$5:$A$1004,"&lt;"&amp;DATE($A258,4+1,1)))</f>
        <v>0</v>
      </c>
      <c r="F258">
        <f>IF($A258="","",SUMIFS(Movimenti!$V$5:$V$1004,Movimenti!$A$5:$A$1004,"&gt;="&amp;DATE($A258,5,1),Movimenti!$A$5:$A$1004,"&lt;"&amp;DATE($A258,5+1,1)))</f>
        <v>0</v>
      </c>
      <c r="G258">
        <f>IF($A258="","",SUMIFS(Movimenti!$V$5:$V$1004,Movimenti!$A$5:$A$1004,"&gt;="&amp;DATE($A258,6,1),Movimenti!$A$5:$A$1004,"&lt;"&amp;DATE($A258,6+1,1)))</f>
        <v>26.83</v>
      </c>
      <c r="H258">
        <f>IF($A258="","",SUMIFS(Movimenti!$V$5:$V$1004,Movimenti!$A$5:$A$1004,"&gt;="&amp;DATE($A258,7,1),Movimenti!$A$5:$A$1004,"&lt;"&amp;DATE($A258,7+1,1)))</f>
        <v>0</v>
      </c>
      <c r="I258">
        <f>IF($A258="","",SUMIFS(Movimenti!$V$5:$V$1004,Movimenti!$A$5:$A$1004,"&gt;="&amp;DATE($A258,8,1),Movimenti!$A$5:$A$1004,"&lt;"&amp;DATE($A258,8+1,1)))</f>
        <v>0</v>
      </c>
      <c r="J258">
        <f>IF($A258="","",SUMIFS(Movimenti!$V$5:$V$1004,Movimenti!$A$5:$A$1004,"&gt;="&amp;DATE($A258,9,1),Movimenti!$A$5:$A$1004,"&lt;"&amp;DATE($A258,9+1,1)))</f>
        <v>6.57</v>
      </c>
      <c r="K258">
        <f>IF($A258="","",SUMIFS(Movimenti!$V$5:$V$1004,Movimenti!$A$5:$A$1004,"&gt;="&amp;DATE($A258,10,1),Movimenti!$A$5:$A$1004,"&lt;"&amp;DATE($A258,10+1,1)))</f>
        <v>0</v>
      </c>
      <c r="L258">
        <f>IF($A258="","",SUMIFS(Movimenti!$V$5:$V$1004,Movimenti!$A$5:$A$1004,"&gt;="&amp;DATE($A258,11,1),Movimenti!$A$5:$A$1004,"&lt;"&amp;DATE($A258,11+1,1)))</f>
        <v>0</v>
      </c>
      <c r="M258">
        <f>IF($A258="","",SUMIFS(Movimenti!$V$5:$V$1004,Movimenti!$A$5:$A$1004,"&gt;="&amp;DATE($A258,12,1),Movimenti!$A$5:$A$1004,"&lt;"&amp;DATE($A258,12+1,1)))</f>
        <v>0</v>
      </c>
      <c r="N258">
        <f>IF($A258="","",SUM(B258:M258))</f>
        <v>39.62</v>
      </c>
      <c r="O258">
        <f>IF($A258="","",IF($A258=$B$252,IF($B$255&gt;0,N258/$B$255-1,""),IF(SUMIFS(Movimenti!$V$5:$V$1004,Movimenti!$A$5:$A$1004,"&gt;="&amp;DATE($A258-1,1,1),Movimenti!$A$5:$A$1004,"&lt;"&amp;DATE($A258-1+1,1,1))&gt;0,N258/SUMIFS(Movimenti!$V$5:$V$1004,Movimenti!$A$5:$A$1004,"&gt;="&amp;DATE($A258-1,1,1),Movimenti!$A$5:$A$1004,"&lt;"&amp;DATE($A258-1+1,1,1))-1,"")))</f>
        <v>0.406460773872914</v>
      </c>
      <c r="AD258">
        <f>IF(AND(ISNUMBER(Movimenti!$A240),Movimenti!$L240&lt;&gt;""),Movimenti!$A240,$B$32)</f>
        <v>45596.0</v>
      </c>
      <c r="AE258">
        <f>IF(Movimenti!$L240="",0,N(Movimenti!$L240))</f>
        <v>0</v>
      </c>
    </row>
    <row r="259">
      <c r="A259" t="str">
        <f>IF(3&lt;$B$254,$B$252-$B$254+1+3,"")</f>
        <v/>
      </c>
      <c r="B259" t="str">
        <f>IF($A259="","",SUMIFS(Movimenti!$V$5:$V$1004,Movimenti!$A$5:$A$1004,"&gt;="&amp;DATE($A259,1,1),Movimenti!$A$5:$A$1004,"&lt;"&amp;DATE($A259,1+1,1)))</f>
        <v/>
      </c>
      <c r="C259" t="str">
        <f>IF($A259="","",SUMIFS(Movimenti!$V$5:$V$1004,Movimenti!$A$5:$A$1004,"&gt;="&amp;DATE($A259,2,1),Movimenti!$A$5:$A$1004,"&lt;"&amp;DATE($A259,2+1,1)))</f>
        <v/>
      </c>
      <c r="D259" t="str">
        <f>IF($A259="","",SUMIFS(Movimenti!$V$5:$V$1004,Movimenti!$A$5:$A$1004,"&gt;="&amp;DATE($A259,3,1),Movimenti!$A$5:$A$1004,"&lt;"&amp;DATE($A259,3+1,1)))</f>
        <v/>
      </c>
      <c r="E259" t="str">
        <f>IF($A259="","",SUMIFS(Movimenti!$V$5:$V$1004,Movimenti!$A$5:$A$1004,"&gt;="&amp;DATE($A259,4,1),Movimenti!$A$5:$A$1004,"&lt;"&amp;DATE($A259,4+1,1)))</f>
        <v/>
      </c>
      <c r="F259" t="str">
        <f>IF($A259="","",SUMIFS(Movimenti!$V$5:$V$1004,Movimenti!$A$5:$A$1004,"&gt;="&amp;DATE($A259,5,1),Movimenti!$A$5:$A$1004,"&lt;"&amp;DATE($A259,5+1,1)))</f>
        <v/>
      </c>
      <c r="G259" t="str">
        <f>IF($A259="","",SUMIFS(Movimenti!$V$5:$V$1004,Movimenti!$A$5:$A$1004,"&gt;="&amp;DATE($A259,6,1),Movimenti!$A$5:$A$1004,"&lt;"&amp;DATE($A259,6+1,1)))</f>
        <v/>
      </c>
      <c r="H259" t="str">
        <f>IF($A259="","",SUMIFS(Movimenti!$V$5:$V$1004,Movimenti!$A$5:$A$1004,"&gt;="&amp;DATE($A259,7,1),Movimenti!$A$5:$A$1004,"&lt;"&amp;DATE($A259,7+1,1)))</f>
        <v/>
      </c>
      <c r="I259" t="str">
        <f>IF($A259="","",SUMIFS(Movimenti!$V$5:$V$1004,Movimenti!$A$5:$A$1004,"&gt;="&amp;DATE($A259,8,1),Movimenti!$A$5:$A$1004,"&lt;"&amp;DATE($A259,8+1,1)))</f>
        <v/>
      </c>
      <c r="J259" t="str">
        <f>IF($A259="","",SUMIFS(Movimenti!$V$5:$V$1004,Movimenti!$A$5:$A$1004,"&gt;="&amp;DATE($A259,9,1),Movimenti!$A$5:$A$1004,"&lt;"&amp;DATE($A259,9+1,1)))</f>
        <v/>
      </c>
      <c r="K259" t="str">
        <f>IF($A259="","",SUMIFS(Movimenti!$V$5:$V$1004,Movimenti!$A$5:$A$1004,"&gt;="&amp;DATE($A259,10,1),Movimenti!$A$5:$A$1004,"&lt;"&amp;DATE($A259,10+1,1)))</f>
        <v/>
      </c>
      <c r="L259" t="str">
        <f>IF($A259="","",SUMIFS(Movimenti!$V$5:$V$1004,Movimenti!$A$5:$A$1004,"&gt;="&amp;DATE($A259,11,1),Movimenti!$A$5:$A$1004,"&lt;"&amp;DATE($A259,11+1,1)))</f>
        <v/>
      </c>
      <c r="M259" t="str">
        <f>IF($A259="","",SUMIFS(Movimenti!$V$5:$V$1004,Movimenti!$A$5:$A$1004,"&gt;="&amp;DATE($A259,12,1),Movimenti!$A$5:$A$1004,"&lt;"&amp;DATE($A259,12+1,1)))</f>
        <v/>
      </c>
      <c r="N259" t="str">
        <f>IF($A259="","",SUM(B259:M259))</f>
        <v/>
      </c>
      <c r="O259" t="str">
        <f>IF($A259="","",IF($A259=$B$252,IF($B$255&gt;0,N259/$B$255-1,""),IF(SUMIFS(Movimenti!$V$5:$V$1004,Movimenti!$A$5:$A$1004,"&gt;="&amp;DATE($A259-1,1,1),Movimenti!$A$5:$A$1004,"&lt;"&amp;DATE($A259-1+1,1,1))&gt;0,N259/SUMIFS(Movimenti!$V$5:$V$1004,Movimenti!$A$5:$A$1004,"&gt;="&amp;DATE($A259-1,1,1),Movimenti!$A$5:$A$1004,"&lt;"&amp;DATE($A259-1+1,1,1))-1,"")))</f>
        <v/>
      </c>
      <c r="AD259">
        <f>IF(AND(ISNUMBER(Movimenti!$A241),Movimenti!$L241&lt;&gt;""),Movimenti!$A241,$B$32)</f>
        <v>45596.0</v>
      </c>
      <c r="AE259">
        <f>IF(Movimenti!$L241="",0,N(Movimenti!$L241))</f>
        <v>0</v>
      </c>
    </row>
    <row r="260">
      <c r="A260" t="str">
        <f>IF(4&lt;$B$254,$B$252-$B$254+1+4,"")</f>
        <v/>
      </c>
      <c r="B260" t="str">
        <f>IF($A260="","",SUMIFS(Movimenti!$V$5:$V$1004,Movimenti!$A$5:$A$1004,"&gt;="&amp;DATE($A260,1,1),Movimenti!$A$5:$A$1004,"&lt;"&amp;DATE($A260,1+1,1)))</f>
        <v/>
      </c>
      <c r="C260" t="str">
        <f>IF($A260="","",SUMIFS(Movimenti!$V$5:$V$1004,Movimenti!$A$5:$A$1004,"&gt;="&amp;DATE($A260,2,1),Movimenti!$A$5:$A$1004,"&lt;"&amp;DATE($A260,2+1,1)))</f>
        <v/>
      </c>
      <c r="D260" t="str">
        <f>IF($A260="","",SUMIFS(Movimenti!$V$5:$V$1004,Movimenti!$A$5:$A$1004,"&gt;="&amp;DATE($A260,3,1),Movimenti!$A$5:$A$1004,"&lt;"&amp;DATE($A260,3+1,1)))</f>
        <v/>
      </c>
      <c r="E260" t="str">
        <f>IF($A260="","",SUMIFS(Movimenti!$V$5:$V$1004,Movimenti!$A$5:$A$1004,"&gt;="&amp;DATE($A260,4,1),Movimenti!$A$5:$A$1004,"&lt;"&amp;DATE($A260,4+1,1)))</f>
        <v/>
      </c>
      <c r="F260" t="str">
        <f>IF($A260="","",SUMIFS(Movimenti!$V$5:$V$1004,Movimenti!$A$5:$A$1004,"&gt;="&amp;DATE($A260,5,1),Movimenti!$A$5:$A$1004,"&lt;"&amp;DATE($A260,5+1,1)))</f>
        <v/>
      </c>
      <c r="G260" t="str">
        <f>IF($A260="","",SUMIFS(Movimenti!$V$5:$V$1004,Movimenti!$A$5:$A$1004,"&gt;="&amp;DATE($A260,6,1),Movimenti!$A$5:$A$1004,"&lt;"&amp;DATE($A260,6+1,1)))</f>
        <v/>
      </c>
      <c r="H260" t="str">
        <f>IF($A260="","",SUMIFS(Movimenti!$V$5:$V$1004,Movimenti!$A$5:$A$1004,"&gt;="&amp;DATE($A260,7,1),Movimenti!$A$5:$A$1004,"&lt;"&amp;DATE($A260,7+1,1)))</f>
        <v/>
      </c>
      <c r="I260" t="str">
        <f>IF($A260="","",SUMIFS(Movimenti!$V$5:$V$1004,Movimenti!$A$5:$A$1004,"&gt;="&amp;DATE($A260,8,1),Movimenti!$A$5:$A$1004,"&lt;"&amp;DATE($A260,8+1,1)))</f>
        <v/>
      </c>
      <c r="J260" t="str">
        <f>IF($A260="","",SUMIFS(Movimenti!$V$5:$V$1004,Movimenti!$A$5:$A$1004,"&gt;="&amp;DATE($A260,9,1),Movimenti!$A$5:$A$1004,"&lt;"&amp;DATE($A260,9+1,1)))</f>
        <v/>
      </c>
      <c r="K260" t="str">
        <f>IF($A260="","",SUMIFS(Movimenti!$V$5:$V$1004,Movimenti!$A$5:$A$1004,"&gt;="&amp;DATE($A260,10,1),Movimenti!$A$5:$A$1004,"&lt;"&amp;DATE($A260,10+1,1)))</f>
        <v/>
      </c>
      <c r="L260" t="str">
        <f>IF($A260="","",SUMIFS(Movimenti!$V$5:$V$1004,Movimenti!$A$5:$A$1004,"&gt;="&amp;DATE($A260,11,1),Movimenti!$A$5:$A$1004,"&lt;"&amp;DATE($A260,11+1,1)))</f>
        <v/>
      </c>
      <c r="M260" t="str">
        <f>IF($A260="","",SUMIFS(Movimenti!$V$5:$V$1004,Movimenti!$A$5:$A$1004,"&gt;="&amp;DATE($A260,12,1),Movimenti!$A$5:$A$1004,"&lt;"&amp;DATE($A260,12+1,1)))</f>
        <v/>
      </c>
      <c r="N260" t="str">
        <f>IF($A260="","",SUM(B260:M260))</f>
        <v/>
      </c>
      <c r="O260" t="str">
        <f>IF($A260="","",IF($A260=$B$252,IF($B$255&gt;0,N260/$B$255-1,""),IF(SUMIFS(Movimenti!$V$5:$V$1004,Movimenti!$A$5:$A$1004,"&gt;="&amp;DATE($A260-1,1,1),Movimenti!$A$5:$A$1004,"&lt;"&amp;DATE($A260-1+1,1,1))&gt;0,N260/SUMIFS(Movimenti!$V$5:$V$1004,Movimenti!$A$5:$A$1004,"&gt;="&amp;DATE($A260-1,1,1),Movimenti!$A$5:$A$1004,"&lt;"&amp;DATE($A260-1+1,1,1))-1,"")))</f>
        <v/>
      </c>
      <c r="AD260">
        <f>IF(AND(ISNUMBER(Movimenti!$A242),Movimenti!$L242&lt;&gt;""),Movimenti!$A242,$B$32)</f>
        <v>45596.0</v>
      </c>
      <c r="AE260">
        <f>IF(Movimenti!$L242="",0,N(Movimenti!$L242))</f>
        <v>0</v>
      </c>
    </row>
    <row r="261">
      <c r="A261" t="str">
        <f>IF(5&lt;$B$254,$B$252-$B$254+1+5,"")</f>
        <v/>
      </c>
      <c r="B261" t="str">
        <f>IF($A261="","",SUMIFS(Movimenti!$V$5:$V$1004,Movimenti!$A$5:$A$1004,"&gt;="&amp;DATE($A261,1,1),Movimenti!$A$5:$A$1004,"&lt;"&amp;DATE($A261,1+1,1)))</f>
        <v/>
      </c>
      <c r="C261" t="str">
        <f>IF($A261="","",SUMIFS(Movimenti!$V$5:$V$1004,Movimenti!$A$5:$A$1004,"&gt;="&amp;DATE($A261,2,1),Movimenti!$A$5:$A$1004,"&lt;"&amp;DATE($A261,2+1,1)))</f>
        <v/>
      </c>
      <c r="D261" t="str">
        <f>IF($A261="","",SUMIFS(Movimenti!$V$5:$V$1004,Movimenti!$A$5:$A$1004,"&gt;="&amp;DATE($A261,3,1),Movimenti!$A$5:$A$1004,"&lt;"&amp;DATE($A261,3+1,1)))</f>
        <v/>
      </c>
      <c r="E261" t="str">
        <f>IF($A261="","",SUMIFS(Movimenti!$V$5:$V$1004,Movimenti!$A$5:$A$1004,"&gt;="&amp;DATE($A261,4,1),Movimenti!$A$5:$A$1004,"&lt;"&amp;DATE($A261,4+1,1)))</f>
        <v/>
      </c>
      <c r="F261" t="str">
        <f>IF($A261="","",SUMIFS(Movimenti!$V$5:$V$1004,Movimenti!$A$5:$A$1004,"&gt;="&amp;DATE($A261,5,1),Movimenti!$A$5:$A$1004,"&lt;"&amp;DATE($A261,5+1,1)))</f>
        <v/>
      </c>
      <c r="G261" t="str">
        <f>IF($A261="","",SUMIFS(Movimenti!$V$5:$V$1004,Movimenti!$A$5:$A$1004,"&gt;="&amp;DATE($A261,6,1),Movimenti!$A$5:$A$1004,"&lt;"&amp;DATE($A261,6+1,1)))</f>
        <v/>
      </c>
      <c r="H261" t="str">
        <f>IF($A261="","",SUMIFS(Movimenti!$V$5:$V$1004,Movimenti!$A$5:$A$1004,"&gt;="&amp;DATE($A261,7,1),Movimenti!$A$5:$A$1004,"&lt;"&amp;DATE($A261,7+1,1)))</f>
        <v/>
      </c>
      <c r="I261" t="str">
        <f>IF($A261="","",SUMIFS(Movimenti!$V$5:$V$1004,Movimenti!$A$5:$A$1004,"&gt;="&amp;DATE($A261,8,1),Movimenti!$A$5:$A$1004,"&lt;"&amp;DATE($A261,8+1,1)))</f>
        <v/>
      </c>
      <c r="J261" t="str">
        <f>IF($A261="","",SUMIFS(Movimenti!$V$5:$V$1004,Movimenti!$A$5:$A$1004,"&gt;="&amp;DATE($A261,9,1),Movimenti!$A$5:$A$1004,"&lt;"&amp;DATE($A261,9+1,1)))</f>
        <v/>
      </c>
      <c r="K261" t="str">
        <f>IF($A261="","",SUMIFS(Movimenti!$V$5:$V$1004,Movimenti!$A$5:$A$1004,"&gt;="&amp;DATE($A261,10,1),Movimenti!$A$5:$A$1004,"&lt;"&amp;DATE($A261,10+1,1)))</f>
        <v/>
      </c>
      <c r="L261" t="str">
        <f>IF($A261="","",SUMIFS(Movimenti!$V$5:$V$1004,Movimenti!$A$5:$A$1004,"&gt;="&amp;DATE($A261,11,1),Movimenti!$A$5:$A$1004,"&lt;"&amp;DATE($A261,11+1,1)))</f>
        <v/>
      </c>
      <c r="M261" t="str">
        <f>IF($A261="","",SUMIFS(Movimenti!$V$5:$V$1004,Movimenti!$A$5:$A$1004,"&gt;="&amp;DATE($A261,12,1),Movimenti!$A$5:$A$1004,"&lt;"&amp;DATE($A261,12+1,1)))</f>
        <v/>
      </c>
      <c r="N261" t="str">
        <f>IF($A261="","",SUM(B261:M261))</f>
        <v/>
      </c>
      <c r="O261" t="str">
        <f>IF($A261="","",IF($A261=$B$252,IF($B$255&gt;0,N261/$B$255-1,""),IF(SUMIFS(Movimenti!$V$5:$V$1004,Movimenti!$A$5:$A$1004,"&gt;="&amp;DATE($A261-1,1,1),Movimenti!$A$5:$A$1004,"&lt;"&amp;DATE($A261-1+1,1,1))&gt;0,N261/SUMIFS(Movimenti!$V$5:$V$1004,Movimenti!$A$5:$A$1004,"&gt;="&amp;DATE($A261-1,1,1),Movimenti!$A$5:$A$1004,"&lt;"&amp;DATE($A261-1+1,1,1))-1,"")))</f>
        <v/>
      </c>
      <c r="AD261">
        <f>IF(AND(ISNUMBER(Movimenti!$A243),Movimenti!$L243&lt;&gt;""),Movimenti!$A243,$B$32)</f>
        <v>45596.0</v>
      </c>
      <c r="AE261">
        <f>IF(Movimenti!$L243="",0,N(Movimenti!$L243))</f>
        <v>0</v>
      </c>
    </row>
    <row r="262">
      <c r="A262" t="str">
        <f>IF(6&lt;$B$254,$B$252-$B$254+1+6,"")</f>
        <v/>
      </c>
      <c r="B262" t="str">
        <f>IF($A262="","",SUMIFS(Movimenti!$V$5:$V$1004,Movimenti!$A$5:$A$1004,"&gt;="&amp;DATE($A262,1,1),Movimenti!$A$5:$A$1004,"&lt;"&amp;DATE($A262,1+1,1)))</f>
        <v/>
      </c>
      <c r="C262" t="str">
        <f>IF($A262="","",SUMIFS(Movimenti!$V$5:$V$1004,Movimenti!$A$5:$A$1004,"&gt;="&amp;DATE($A262,2,1),Movimenti!$A$5:$A$1004,"&lt;"&amp;DATE($A262,2+1,1)))</f>
        <v/>
      </c>
      <c r="D262" t="str">
        <f>IF($A262="","",SUMIFS(Movimenti!$V$5:$V$1004,Movimenti!$A$5:$A$1004,"&gt;="&amp;DATE($A262,3,1),Movimenti!$A$5:$A$1004,"&lt;"&amp;DATE($A262,3+1,1)))</f>
        <v/>
      </c>
      <c r="E262" t="str">
        <f>IF($A262="","",SUMIFS(Movimenti!$V$5:$V$1004,Movimenti!$A$5:$A$1004,"&gt;="&amp;DATE($A262,4,1),Movimenti!$A$5:$A$1004,"&lt;"&amp;DATE($A262,4+1,1)))</f>
        <v/>
      </c>
      <c r="F262" t="str">
        <f>IF($A262="","",SUMIFS(Movimenti!$V$5:$V$1004,Movimenti!$A$5:$A$1004,"&gt;="&amp;DATE($A262,5,1),Movimenti!$A$5:$A$1004,"&lt;"&amp;DATE($A262,5+1,1)))</f>
        <v/>
      </c>
      <c r="G262" t="str">
        <f>IF($A262="","",SUMIFS(Movimenti!$V$5:$V$1004,Movimenti!$A$5:$A$1004,"&gt;="&amp;DATE($A262,6,1),Movimenti!$A$5:$A$1004,"&lt;"&amp;DATE($A262,6+1,1)))</f>
        <v/>
      </c>
      <c r="H262" t="str">
        <f>IF($A262="","",SUMIFS(Movimenti!$V$5:$V$1004,Movimenti!$A$5:$A$1004,"&gt;="&amp;DATE($A262,7,1),Movimenti!$A$5:$A$1004,"&lt;"&amp;DATE($A262,7+1,1)))</f>
        <v/>
      </c>
      <c r="I262" t="str">
        <f>IF($A262="","",SUMIFS(Movimenti!$V$5:$V$1004,Movimenti!$A$5:$A$1004,"&gt;="&amp;DATE($A262,8,1),Movimenti!$A$5:$A$1004,"&lt;"&amp;DATE($A262,8+1,1)))</f>
        <v/>
      </c>
      <c r="J262" t="str">
        <f>IF($A262="","",SUMIFS(Movimenti!$V$5:$V$1004,Movimenti!$A$5:$A$1004,"&gt;="&amp;DATE($A262,9,1),Movimenti!$A$5:$A$1004,"&lt;"&amp;DATE($A262,9+1,1)))</f>
        <v/>
      </c>
      <c r="K262" t="str">
        <f>IF($A262="","",SUMIFS(Movimenti!$V$5:$V$1004,Movimenti!$A$5:$A$1004,"&gt;="&amp;DATE($A262,10,1),Movimenti!$A$5:$A$1004,"&lt;"&amp;DATE($A262,10+1,1)))</f>
        <v/>
      </c>
      <c r="L262" t="str">
        <f>IF($A262="","",SUMIFS(Movimenti!$V$5:$V$1004,Movimenti!$A$5:$A$1004,"&gt;="&amp;DATE($A262,11,1),Movimenti!$A$5:$A$1004,"&lt;"&amp;DATE($A262,11+1,1)))</f>
        <v/>
      </c>
      <c r="M262" t="str">
        <f>IF($A262="","",SUMIFS(Movimenti!$V$5:$V$1004,Movimenti!$A$5:$A$1004,"&gt;="&amp;DATE($A262,12,1),Movimenti!$A$5:$A$1004,"&lt;"&amp;DATE($A262,12+1,1)))</f>
        <v/>
      </c>
      <c r="N262" t="str">
        <f>IF($A262="","",SUM(B262:M262))</f>
        <v/>
      </c>
      <c r="O262" t="str">
        <f>IF($A262="","",IF($A262=$B$252,IF($B$255&gt;0,N262/$B$255-1,""),IF(SUMIFS(Movimenti!$V$5:$V$1004,Movimenti!$A$5:$A$1004,"&gt;="&amp;DATE($A262-1,1,1),Movimenti!$A$5:$A$1004,"&lt;"&amp;DATE($A262-1+1,1,1))&gt;0,N262/SUMIFS(Movimenti!$V$5:$V$1004,Movimenti!$A$5:$A$1004,"&gt;="&amp;DATE($A262-1,1,1),Movimenti!$A$5:$A$1004,"&lt;"&amp;DATE($A262-1+1,1,1))-1,"")))</f>
        <v/>
      </c>
      <c r="AD262">
        <f>IF(AND(ISNUMBER(Movimenti!$A244),Movimenti!$L244&lt;&gt;""),Movimenti!$A244,$B$32)</f>
        <v>45596.0</v>
      </c>
      <c r="AE262">
        <f>IF(Movimenti!$L244="",0,N(Movimenti!$L244))</f>
        <v>0</v>
      </c>
    </row>
    <row r="263">
      <c r="A263" t="str">
        <f>IF(7&lt;$B$254,$B$252-$B$254+1+7,"")</f>
        <v/>
      </c>
      <c r="B263" t="str">
        <f>IF($A263="","",SUMIFS(Movimenti!$V$5:$V$1004,Movimenti!$A$5:$A$1004,"&gt;="&amp;DATE($A263,1,1),Movimenti!$A$5:$A$1004,"&lt;"&amp;DATE($A263,1+1,1)))</f>
        <v/>
      </c>
      <c r="C263" t="str">
        <f>IF($A263="","",SUMIFS(Movimenti!$V$5:$V$1004,Movimenti!$A$5:$A$1004,"&gt;="&amp;DATE($A263,2,1),Movimenti!$A$5:$A$1004,"&lt;"&amp;DATE($A263,2+1,1)))</f>
        <v/>
      </c>
      <c r="D263" t="str">
        <f>IF($A263="","",SUMIFS(Movimenti!$V$5:$V$1004,Movimenti!$A$5:$A$1004,"&gt;="&amp;DATE($A263,3,1),Movimenti!$A$5:$A$1004,"&lt;"&amp;DATE($A263,3+1,1)))</f>
        <v/>
      </c>
      <c r="E263" t="str">
        <f>IF($A263="","",SUMIFS(Movimenti!$V$5:$V$1004,Movimenti!$A$5:$A$1004,"&gt;="&amp;DATE($A263,4,1),Movimenti!$A$5:$A$1004,"&lt;"&amp;DATE($A263,4+1,1)))</f>
        <v/>
      </c>
      <c r="F263" t="str">
        <f>IF($A263="","",SUMIFS(Movimenti!$V$5:$V$1004,Movimenti!$A$5:$A$1004,"&gt;="&amp;DATE($A263,5,1),Movimenti!$A$5:$A$1004,"&lt;"&amp;DATE($A263,5+1,1)))</f>
        <v/>
      </c>
      <c r="G263" t="str">
        <f>IF($A263="","",SUMIFS(Movimenti!$V$5:$V$1004,Movimenti!$A$5:$A$1004,"&gt;="&amp;DATE($A263,6,1),Movimenti!$A$5:$A$1004,"&lt;"&amp;DATE($A263,6+1,1)))</f>
        <v/>
      </c>
      <c r="H263" t="str">
        <f>IF($A263="","",SUMIFS(Movimenti!$V$5:$V$1004,Movimenti!$A$5:$A$1004,"&gt;="&amp;DATE($A263,7,1),Movimenti!$A$5:$A$1004,"&lt;"&amp;DATE($A263,7+1,1)))</f>
        <v/>
      </c>
      <c r="I263" t="str">
        <f>IF($A263="","",SUMIFS(Movimenti!$V$5:$V$1004,Movimenti!$A$5:$A$1004,"&gt;="&amp;DATE($A263,8,1),Movimenti!$A$5:$A$1004,"&lt;"&amp;DATE($A263,8+1,1)))</f>
        <v/>
      </c>
      <c r="J263" t="str">
        <f>IF($A263="","",SUMIFS(Movimenti!$V$5:$V$1004,Movimenti!$A$5:$A$1004,"&gt;="&amp;DATE($A263,9,1),Movimenti!$A$5:$A$1004,"&lt;"&amp;DATE($A263,9+1,1)))</f>
        <v/>
      </c>
      <c r="K263" t="str">
        <f>IF($A263="","",SUMIFS(Movimenti!$V$5:$V$1004,Movimenti!$A$5:$A$1004,"&gt;="&amp;DATE($A263,10,1),Movimenti!$A$5:$A$1004,"&lt;"&amp;DATE($A263,10+1,1)))</f>
        <v/>
      </c>
      <c r="L263" t="str">
        <f>IF($A263="","",SUMIFS(Movimenti!$V$5:$V$1004,Movimenti!$A$5:$A$1004,"&gt;="&amp;DATE($A263,11,1),Movimenti!$A$5:$A$1004,"&lt;"&amp;DATE($A263,11+1,1)))</f>
        <v/>
      </c>
      <c r="M263" t="str">
        <f>IF($A263="","",SUMIFS(Movimenti!$V$5:$V$1004,Movimenti!$A$5:$A$1004,"&gt;="&amp;DATE($A263,12,1),Movimenti!$A$5:$A$1004,"&lt;"&amp;DATE($A263,12+1,1)))</f>
        <v/>
      </c>
      <c r="N263" t="str">
        <f>IF($A263="","",SUM(B263:M263))</f>
        <v/>
      </c>
      <c r="O263" t="str">
        <f>IF($A263="","",IF($A263=$B$252,IF($B$255&gt;0,N263/$B$255-1,""),IF(SUMIFS(Movimenti!$V$5:$V$1004,Movimenti!$A$5:$A$1004,"&gt;="&amp;DATE($A263-1,1,1),Movimenti!$A$5:$A$1004,"&lt;"&amp;DATE($A263-1+1,1,1))&gt;0,N263/SUMIFS(Movimenti!$V$5:$V$1004,Movimenti!$A$5:$A$1004,"&gt;="&amp;DATE($A263-1,1,1),Movimenti!$A$5:$A$1004,"&lt;"&amp;DATE($A263-1+1,1,1))-1,"")))</f>
        <v/>
      </c>
      <c r="AD263">
        <f>IF(AND(ISNUMBER(Movimenti!$A245),Movimenti!$L245&lt;&gt;""),Movimenti!$A245,$B$32)</f>
        <v>45596.0</v>
      </c>
      <c r="AE263">
        <f>IF(Movimenti!$L245="",0,N(Movimenti!$L245))</f>
        <v>0</v>
      </c>
    </row>
    <row r="264">
      <c r="AD264">
        <f>IF(AND(ISNUMBER(Movimenti!$A246),Movimenti!$L246&lt;&gt;""),Movimenti!$A246,$B$32)</f>
        <v>45596.0</v>
      </c>
      <c r="AE264">
        <f>IF(Movimenti!$L246="",0,N(Movimenti!$L246))</f>
        <v>0</v>
      </c>
    </row>
    <row r="265">
      <c r="A265" t="inlineStr">
        <is>
          <t>Mese</t>
        </is>
      </c>
      <c r="B265" t="str">
        <f>($B$250-2)&amp;""</f>
        <v>2024</v>
      </c>
      <c r="C265" t="str">
        <f>($B$250-1)&amp;""</f>
        <v>2025</v>
      </c>
      <c r="D265" t="str">
        <f>$B$250&amp;""</f>
        <v>2026</v>
      </c>
      <c r="AD265">
        <f>IF(AND(ISNUMBER(Movimenti!$A247),Movimenti!$L247&lt;&gt;""),Movimenti!$A247,$B$32)</f>
        <v>45596.0</v>
      </c>
      <c r="AE265">
        <f>IF(Movimenti!$L247="",0,N(Movimenti!$L247))</f>
        <v>0</v>
      </c>
    </row>
    <row r="266">
      <c r="A266" t="inlineStr">
        <is>
          <t>Gen</t>
        </is>
      </c>
      <c r="B266">
        <f>SUMIFS(Movimenti!$V$5:$V$1004,Movimenti!$A$5:$A$1004,"&gt;="&amp;DATE($B$250-2,1,1),Movimenti!$A$5:$A$1004,"&lt;"&amp;DATE($B$250-2,1+1,1))</f>
        <v>0</v>
      </c>
      <c r="C266">
        <f>SUMIFS(Movimenti!$V$5:$V$1004,Movimenti!$A$5:$A$1004,"&gt;="&amp;DATE($B$250-1,1,1),Movimenti!$A$5:$A$1004,"&lt;"&amp;DATE($B$250-1,1+1,1))</f>
        <v>0</v>
      </c>
      <c r="D266">
        <f>SUMIFS(Movimenti!$V$5:$V$1004,Movimenti!$A$5:$A$1004,"&gt;="&amp;DATE($B$250-0,1,1),Movimenti!$A$5:$A$1004,"&lt;"&amp;DATE($B$250-0,1+1,1))</f>
        <v>0</v>
      </c>
      <c r="AD266">
        <f>IF(AND(ISNUMBER(Movimenti!$A248),Movimenti!$L248&lt;&gt;""),Movimenti!$A248,$B$32)</f>
        <v>45596.0</v>
      </c>
      <c r="AE266">
        <f>IF(Movimenti!$L248="",0,N(Movimenti!$L248))</f>
        <v>0</v>
      </c>
    </row>
    <row r="267">
      <c r="A267" t="inlineStr">
        <is>
          <t>Feb</t>
        </is>
      </c>
      <c r="B267">
        <f>SUMIFS(Movimenti!$V$5:$V$1004,Movimenti!$A$5:$A$1004,"&gt;="&amp;DATE($B$250-2,2,1),Movimenti!$A$5:$A$1004,"&lt;"&amp;DATE($B$250-2,2+1,1))</f>
        <v>0</v>
      </c>
      <c r="C267">
        <f>SUMIFS(Movimenti!$V$5:$V$1004,Movimenti!$A$5:$A$1004,"&gt;="&amp;DATE($B$250-1,2,1),Movimenti!$A$5:$A$1004,"&lt;"&amp;DATE($B$250-1,2+1,1))</f>
        <v>0</v>
      </c>
      <c r="D267">
        <f>SUMIFS(Movimenti!$V$5:$V$1004,Movimenti!$A$5:$A$1004,"&gt;="&amp;DATE($B$250-0,2,1),Movimenti!$A$5:$A$1004,"&lt;"&amp;DATE($B$250-0,2+1,1))</f>
        <v>0</v>
      </c>
      <c r="AD267">
        <f>IF(AND(ISNUMBER(Movimenti!$A249),Movimenti!$L249&lt;&gt;""),Movimenti!$A249,$B$32)</f>
        <v>45596.0</v>
      </c>
      <c r="AE267">
        <f>IF(Movimenti!$L249="",0,N(Movimenti!$L249))</f>
        <v>0</v>
      </c>
    </row>
    <row r="268">
      <c r="A268" t="inlineStr">
        <is>
          <t>Mar</t>
        </is>
      </c>
      <c r="B268">
        <f>SUMIFS(Movimenti!$V$5:$V$1004,Movimenti!$A$5:$A$1004,"&gt;="&amp;DATE($B$250-2,3,1),Movimenti!$A$5:$A$1004,"&lt;"&amp;DATE($B$250-2,3+1,1))</f>
        <v>0</v>
      </c>
      <c r="C268">
        <f>SUMIFS(Movimenti!$V$5:$V$1004,Movimenti!$A$5:$A$1004,"&gt;="&amp;DATE($B$250-1,3,1),Movimenti!$A$5:$A$1004,"&lt;"&amp;DATE($B$250-1,3+1,1))</f>
        <v>3.02</v>
      </c>
      <c r="D268">
        <f>SUMIFS(Movimenti!$V$5:$V$1004,Movimenti!$A$5:$A$1004,"&gt;="&amp;DATE($B$250-0,3,1),Movimenti!$A$5:$A$1004,"&lt;"&amp;DATE($B$250-0,3+1,1))</f>
        <v>6.22</v>
      </c>
      <c r="AD268">
        <f>IF(AND(ISNUMBER(Movimenti!$A250),Movimenti!$L250&lt;&gt;""),Movimenti!$A250,$B$32)</f>
        <v>45596.0</v>
      </c>
      <c r="AE268">
        <f>IF(Movimenti!$L250="",0,N(Movimenti!$L250))</f>
        <v>0</v>
      </c>
    </row>
    <row r="269">
      <c r="A269" t="inlineStr">
        <is>
          <t>Apr</t>
        </is>
      </c>
      <c r="B269">
        <f>SUMIFS(Movimenti!$V$5:$V$1004,Movimenti!$A$5:$A$1004,"&gt;="&amp;DATE($B$250-2,4,1),Movimenti!$A$5:$A$1004,"&lt;"&amp;DATE($B$250-2,4+1,1))</f>
        <v>0</v>
      </c>
      <c r="C269">
        <f>SUMIFS(Movimenti!$V$5:$V$1004,Movimenti!$A$5:$A$1004,"&gt;="&amp;DATE($B$250-1,4,1),Movimenti!$A$5:$A$1004,"&lt;"&amp;DATE($B$250-1,4+1,1))</f>
        <v>0</v>
      </c>
      <c r="D269">
        <f>SUMIFS(Movimenti!$V$5:$V$1004,Movimenti!$A$5:$A$1004,"&gt;="&amp;DATE($B$250-0,4,1),Movimenti!$A$5:$A$1004,"&lt;"&amp;DATE($B$250-0,4+1,1))</f>
        <v>0</v>
      </c>
      <c r="AD269">
        <f>IF(AND(ISNUMBER(Movimenti!$A251),Movimenti!$L251&lt;&gt;""),Movimenti!$A251,$B$32)</f>
        <v>45596.0</v>
      </c>
      <c r="AE269">
        <f>IF(Movimenti!$L251="",0,N(Movimenti!$L251))</f>
        <v>0</v>
      </c>
    </row>
    <row r="270">
      <c r="A270" t="inlineStr">
        <is>
          <t>Mag</t>
        </is>
      </c>
      <c r="B270">
        <f>SUMIFS(Movimenti!$V$5:$V$1004,Movimenti!$A$5:$A$1004,"&gt;="&amp;DATE($B$250-2,5,1),Movimenti!$A$5:$A$1004,"&lt;"&amp;DATE($B$250-2,5+1,1))</f>
        <v>0</v>
      </c>
      <c r="C270">
        <f>SUMIFS(Movimenti!$V$5:$V$1004,Movimenti!$A$5:$A$1004,"&gt;="&amp;DATE($B$250-1,5,1),Movimenti!$A$5:$A$1004,"&lt;"&amp;DATE($B$250-1,5+1,1))</f>
        <v>0</v>
      </c>
      <c r="D270">
        <f>SUMIFS(Movimenti!$V$5:$V$1004,Movimenti!$A$5:$A$1004,"&gt;="&amp;DATE($B$250-0,5,1),Movimenti!$A$5:$A$1004,"&lt;"&amp;DATE($B$250-0,5+1,1))</f>
        <v>0</v>
      </c>
      <c r="AD270">
        <f>IF(AND(ISNUMBER(Movimenti!$A252),Movimenti!$L252&lt;&gt;""),Movimenti!$A252,$B$32)</f>
        <v>45596.0</v>
      </c>
      <c r="AE270">
        <f>IF(Movimenti!$L252="",0,N(Movimenti!$L252))</f>
        <v>0</v>
      </c>
    </row>
    <row r="271">
      <c r="A271" t="inlineStr">
        <is>
          <t>Giu</t>
        </is>
      </c>
      <c r="B271">
        <f>SUMIFS(Movimenti!$V$5:$V$1004,Movimenti!$A$5:$A$1004,"&gt;="&amp;DATE($B$250-2,6,1),Movimenti!$A$5:$A$1004,"&lt;"&amp;DATE($B$250-2,6+1,1))</f>
        <v>0</v>
      </c>
      <c r="C271">
        <f>SUMIFS(Movimenti!$V$5:$V$1004,Movimenti!$A$5:$A$1004,"&gt;="&amp;DATE($B$250-1,6,1),Movimenti!$A$5:$A$1004,"&lt;"&amp;DATE($B$250-1,6+1,1))</f>
        <v>20.18</v>
      </c>
      <c r="D271">
        <f>SUMIFS(Movimenti!$V$5:$V$1004,Movimenti!$A$5:$A$1004,"&gt;="&amp;DATE($B$250-0,6,1),Movimenti!$A$5:$A$1004,"&lt;"&amp;DATE($B$250-0,6+1,1))</f>
        <v>26.83</v>
      </c>
      <c r="AD271">
        <f>IF(AND(ISNUMBER(Movimenti!$A253),Movimenti!$L253&lt;&gt;""),Movimenti!$A253,$B$32)</f>
        <v>45596.0</v>
      </c>
      <c r="AE271">
        <f>IF(Movimenti!$L253="",0,N(Movimenti!$L253))</f>
        <v>0</v>
      </c>
    </row>
    <row r="272">
      <c r="A272" t="inlineStr">
        <is>
          <t>Lug</t>
        </is>
      </c>
      <c r="B272">
        <f>SUMIFS(Movimenti!$V$5:$V$1004,Movimenti!$A$5:$A$1004,"&gt;="&amp;DATE($B$250-2,7,1),Movimenti!$A$5:$A$1004,"&lt;"&amp;DATE($B$250-2,7+1,1))</f>
        <v>0</v>
      </c>
      <c r="C272">
        <f>SUMIFS(Movimenti!$V$5:$V$1004,Movimenti!$A$5:$A$1004,"&gt;="&amp;DATE($B$250-1,7,1),Movimenti!$A$5:$A$1004,"&lt;"&amp;DATE($B$250-1,7+1,1))</f>
        <v>0</v>
      </c>
      <c r="D272">
        <f>SUMIFS(Movimenti!$V$5:$V$1004,Movimenti!$A$5:$A$1004,"&gt;="&amp;DATE($B$250-0,7,1),Movimenti!$A$5:$A$1004,"&lt;"&amp;DATE($B$250-0,7+1,1))</f>
        <v>0</v>
      </c>
      <c r="AD272">
        <f>IF(AND(ISNUMBER(Movimenti!$A254),Movimenti!$L254&lt;&gt;""),Movimenti!$A254,$B$32)</f>
        <v>45596.0</v>
      </c>
      <c r="AE272">
        <f>IF(Movimenti!$L254="",0,N(Movimenti!$L254))</f>
        <v>0</v>
      </c>
    </row>
    <row r="273">
      <c r="A273" t="inlineStr">
        <is>
          <t>Ago</t>
        </is>
      </c>
      <c r="B273">
        <f>SUMIFS(Movimenti!$V$5:$V$1004,Movimenti!$A$5:$A$1004,"&gt;="&amp;DATE($B$250-2,8,1),Movimenti!$A$5:$A$1004,"&lt;"&amp;DATE($B$250-2,8+1,1))</f>
        <v>0</v>
      </c>
      <c r="C273">
        <f>SUMIFS(Movimenti!$V$5:$V$1004,Movimenti!$A$5:$A$1004,"&gt;="&amp;DATE($B$250-1,8,1),Movimenti!$A$5:$A$1004,"&lt;"&amp;DATE($B$250-1,8+1,1))</f>
        <v>0</v>
      </c>
      <c r="D273">
        <f>SUMIFS(Movimenti!$V$5:$V$1004,Movimenti!$A$5:$A$1004,"&gt;="&amp;DATE($B$250-0,8,1),Movimenti!$A$5:$A$1004,"&lt;"&amp;DATE($B$250-0,8+1,1))</f>
        <v>0</v>
      </c>
      <c r="AD273">
        <f>IF(AND(ISNUMBER(Movimenti!$A255),Movimenti!$L255&lt;&gt;""),Movimenti!$A255,$B$32)</f>
        <v>45596.0</v>
      </c>
      <c r="AE273">
        <f>IF(Movimenti!$L255="",0,N(Movimenti!$L255))</f>
        <v>0</v>
      </c>
    </row>
    <row r="274">
      <c r="A274" t="inlineStr">
        <is>
          <t>Set</t>
        </is>
      </c>
      <c r="B274">
        <f>SUMIFS(Movimenti!$V$5:$V$1004,Movimenti!$A$5:$A$1004,"&gt;="&amp;DATE($B$250-2,9,1),Movimenti!$A$5:$A$1004,"&lt;"&amp;DATE($B$250-2,9+1,1))</f>
        <v>0</v>
      </c>
      <c r="C274">
        <f>SUMIFS(Movimenti!$V$5:$V$1004,Movimenti!$A$5:$A$1004,"&gt;="&amp;DATE($B$250-1,9,1),Movimenti!$A$5:$A$1004,"&lt;"&amp;DATE($B$250-1,9+1,1))</f>
        <v>4.97</v>
      </c>
      <c r="D274">
        <f>SUMIFS(Movimenti!$V$5:$V$1004,Movimenti!$A$5:$A$1004,"&gt;="&amp;DATE($B$250-0,9,1),Movimenti!$A$5:$A$1004,"&lt;"&amp;DATE($B$250-0,9+1,1))</f>
        <v>6.57</v>
      </c>
      <c r="AD274">
        <f>IF(AND(ISNUMBER(Movimenti!$A256),Movimenti!$L256&lt;&gt;""),Movimenti!$A256,$B$32)</f>
        <v>45596.0</v>
      </c>
      <c r="AE274">
        <f>IF(Movimenti!$L256="",0,N(Movimenti!$L256))</f>
        <v>0</v>
      </c>
    </row>
    <row r="275">
      <c r="A275" t="inlineStr">
        <is>
          <t>Ott</t>
        </is>
      </c>
      <c r="B275">
        <f>SUMIFS(Movimenti!$V$5:$V$1004,Movimenti!$A$5:$A$1004,"&gt;="&amp;DATE($B$250-2,10,1),Movimenti!$A$5:$A$1004,"&lt;"&amp;DATE($B$250-2,10+1,1))</f>
        <v>0</v>
      </c>
      <c r="C275">
        <f>SUMIFS(Movimenti!$V$5:$V$1004,Movimenti!$A$5:$A$1004,"&gt;="&amp;DATE($B$250-1,10,1),Movimenti!$A$5:$A$1004,"&lt;"&amp;DATE($B$250-1,10+1,1))</f>
        <v>0</v>
      </c>
      <c r="D275">
        <f>SUMIFS(Movimenti!$V$5:$V$1004,Movimenti!$A$5:$A$1004,"&gt;="&amp;DATE($B$250-0,10,1),Movimenti!$A$5:$A$1004,"&lt;"&amp;DATE($B$250-0,10+1,1))</f>
        <v>0</v>
      </c>
      <c r="AD275">
        <f>IF(AND(ISNUMBER(Movimenti!$A257),Movimenti!$L257&lt;&gt;""),Movimenti!$A257,$B$32)</f>
        <v>45596.0</v>
      </c>
      <c r="AE275">
        <f>IF(Movimenti!$L257="",0,N(Movimenti!$L257))</f>
        <v>0</v>
      </c>
    </row>
    <row r="276">
      <c r="A276" t="inlineStr">
        <is>
          <t>Nov</t>
        </is>
      </c>
      <c r="B276">
        <f>SUMIFS(Movimenti!$V$5:$V$1004,Movimenti!$A$5:$A$1004,"&gt;="&amp;DATE($B$250-2,11,1),Movimenti!$A$5:$A$1004,"&lt;"&amp;DATE($B$250-2,11+1,1))</f>
        <v>0</v>
      </c>
      <c r="C276">
        <f>SUMIFS(Movimenti!$V$5:$V$1004,Movimenti!$A$5:$A$1004,"&gt;="&amp;DATE($B$250-1,11,1),Movimenti!$A$5:$A$1004,"&lt;"&amp;DATE($B$250-1,11+1,1))</f>
        <v>0</v>
      </c>
      <c r="D276">
        <f>SUMIFS(Movimenti!$V$5:$V$1004,Movimenti!$A$5:$A$1004,"&gt;="&amp;DATE($B$250-0,11,1),Movimenti!$A$5:$A$1004,"&lt;"&amp;DATE($B$250-0,11+1,1))</f>
        <v>0</v>
      </c>
      <c r="AD276">
        <f>IF(AND(ISNUMBER(Movimenti!$A258),Movimenti!$L258&lt;&gt;""),Movimenti!$A258,$B$32)</f>
        <v>45596.0</v>
      </c>
      <c r="AE276">
        <f>IF(Movimenti!$L258="",0,N(Movimenti!$L258))</f>
        <v>0</v>
      </c>
    </row>
    <row r="277">
      <c r="A277" t="inlineStr">
        <is>
          <t>Dic</t>
        </is>
      </c>
      <c r="B277">
        <f>SUMIFS(Movimenti!$V$5:$V$1004,Movimenti!$A$5:$A$1004,"&gt;="&amp;DATE($B$250-2,12,1),Movimenti!$A$5:$A$1004,"&lt;"&amp;DATE($B$250-2,12+1,1))</f>
        <v>17.87</v>
      </c>
      <c r="C277">
        <f>SUMIFS(Movimenti!$V$5:$V$1004,Movimenti!$A$5:$A$1004,"&gt;="&amp;DATE($B$250-1,12,1),Movimenti!$A$5:$A$1004,"&lt;"&amp;DATE($B$250-1,12+1,1))</f>
        <v>22.51</v>
      </c>
      <c r="D277">
        <f>SUMIFS(Movimenti!$V$5:$V$1004,Movimenti!$A$5:$A$1004,"&gt;="&amp;DATE($B$250-0,12,1),Movimenti!$A$5:$A$1004,"&lt;"&amp;DATE($B$250-0,12+1,1))</f>
        <v>0</v>
      </c>
      <c r="AD277">
        <f>IF(AND(ISNUMBER(Movimenti!$A259),Movimenti!$L259&lt;&gt;""),Movimenti!$A259,$B$32)</f>
        <v>45596.0</v>
      </c>
      <c r="AE277">
        <f>IF(Movimenti!$L259="",0,N(Movimenti!$L259))</f>
        <v>0</v>
      </c>
    </row>
    <row r="278">
      <c r="AD278">
        <f>IF(AND(ISNUMBER(Movimenti!$A260),Movimenti!$L260&lt;&gt;""),Movimenti!$A260,$B$32)</f>
        <v>45596.0</v>
      </c>
      <c r="AE278">
        <f>IF(Movimenti!$L260="",0,N(Movimenti!$L260))</f>
        <v>0</v>
      </c>
    </row>
    <row r="279">
      <c r="AD279">
        <f>IF(AND(ISNUMBER(Movimenti!$A261),Movimenti!$L261&lt;&gt;""),Movimenti!$A261,$B$32)</f>
        <v>45596.0</v>
      </c>
      <c r="AE279">
        <f>IF(Movimenti!$L261="",0,N(Movimenti!$L261))</f>
        <v>0</v>
      </c>
    </row>
    <row r="280">
      <c r="AD280">
        <f>IF(AND(ISNUMBER(Movimenti!$A262),Movimenti!$L262&lt;&gt;""),Movimenti!$A262,$B$32)</f>
        <v>45596.0</v>
      </c>
      <c r="AE280">
        <f>IF(Movimenti!$L262="",0,N(Movimenti!$L262))</f>
        <v>0</v>
      </c>
    </row>
    <row r="281">
      <c r="A281">
        <f>DATE(YEAR($B$42),MONTH($B$42)-23,1)</f>
        <v>45597.0</v>
      </c>
      <c r="B281" t="str">
        <f>CHOOSE(MONTH(A281),"gen","feb","mar","apr","mag","giu","lug","ago","set","ott","nov","dic")&amp;" "&amp;RIGHT(YEAR(A281),2)</f>
        <v>nov 24</v>
      </c>
      <c r="C281">
        <f>SUMIFS(Movimenti!$V$5:$V$1004,Movimenti!$A$5:$A$1004,"&gt;="&amp;DATE(YEAR(A281),MONTH(A281)-11,1),Movimenti!$A$5:$A$1004,"&lt;="&amp;EOMONTH(A281,0))</f>
        <v>0</v>
      </c>
      <c r="AD281">
        <f>IF(AND(ISNUMBER(Movimenti!$A263),Movimenti!$L263&lt;&gt;""),Movimenti!$A263,$B$32)</f>
        <v>45596.0</v>
      </c>
      <c r="AE281">
        <f>IF(Movimenti!$L263="",0,N(Movimenti!$L263))</f>
        <v>0</v>
      </c>
    </row>
    <row r="282">
      <c r="A282">
        <f>DATE(YEAR($B$42),MONTH($B$42)-22,1)</f>
        <v>45627.0</v>
      </c>
      <c r="B282" t="str">
        <f>CHOOSE(MONTH(A282),"gen","feb","mar","apr","mag","giu","lug","ago","set","ott","nov","dic")&amp;" "&amp;RIGHT(YEAR(A282),2)</f>
        <v>dic 24</v>
      </c>
      <c r="C282">
        <f>SUMIFS(Movimenti!$V$5:$V$1004,Movimenti!$A$5:$A$1004,"&gt;="&amp;DATE(YEAR(A282),MONTH(A282)-11,1),Movimenti!$A$5:$A$1004,"&lt;="&amp;EOMONTH(A282,0))</f>
        <v>17.87</v>
      </c>
      <c r="AD282">
        <f>IF(AND(ISNUMBER(Movimenti!$A264),Movimenti!$L264&lt;&gt;""),Movimenti!$A264,$B$32)</f>
        <v>45596.0</v>
      </c>
      <c r="AE282">
        <f>IF(Movimenti!$L264="",0,N(Movimenti!$L264))</f>
        <v>0</v>
      </c>
    </row>
    <row r="283">
      <c r="A283">
        <f>DATE(YEAR($B$42),MONTH($B$42)-21,1)</f>
        <v>45658.0</v>
      </c>
      <c r="B283" t="str">
        <f>CHOOSE(MONTH(A283),"gen","feb","mar","apr","mag","giu","lug","ago","set","ott","nov","dic")&amp;" "&amp;RIGHT(YEAR(A283),2)</f>
        <v>gen 25</v>
      </c>
      <c r="C283">
        <f>SUMIFS(Movimenti!$V$5:$V$1004,Movimenti!$A$5:$A$1004,"&gt;="&amp;DATE(YEAR(A283),MONTH(A283)-11,1),Movimenti!$A$5:$A$1004,"&lt;="&amp;EOMONTH(A283,0))</f>
        <v>17.87</v>
      </c>
      <c r="AD283">
        <f>IF(AND(ISNUMBER(Movimenti!$A265),Movimenti!$L265&lt;&gt;""),Movimenti!$A265,$B$32)</f>
        <v>45596.0</v>
      </c>
      <c r="AE283">
        <f>IF(Movimenti!$L265="",0,N(Movimenti!$L265))</f>
        <v>0</v>
      </c>
    </row>
    <row r="284">
      <c r="A284">
        <f>DATE(YEAR($B$42),MONTH($B$42)-20,1)</f>
        <v>45689.0</v>
      </c>
      <c r="B284" t="str">
        <f>CHOOSE(MONTH(A284),"gen","feb","mar","apr","mag","giu","lug","ago","set","ott","nov","dic")&amp;" "&amp;RIGHT(YEAR(A284),2)</f>
        <v>feb 25</v>
      </c>
      <c r="C284">
        <f>SUMIFS(Movimenti!$V$5:$V$1004,Movimenti!$A$5:$A$1004,"&gt;="&amp;DATE(YEAR(A284),MONTH(A284)-11,1),Movimenti!$A$5:$A$1004,"&lt;="&amp;EOMONTH(A284,0))</f>
        <v>17.87</v>
      </c>
      <c r="AD284">
        <f>IF(AND(ISNUMBER(Movimenti!$A266),Movimenti!$L266&lt;&gt;""),Movimenti!$A266,$B$32)</f>
        <v>45596.0</v>
      </c>
      <c r="AE284">
        <f>IF(Movimenti!$L266="",0,N(Movimenti!$L266))</f>
        <v>0</v>
      </c>
    </row>
    <row r="285">
      <c r="A285">
        <f>DATE(YEAR($B$42),MONTH($B$42)-19,1)</f>
        <v>45717.0</v>
      </c>
      <c r="B285" t="str">
        <f>CHOOSE(MONTH(A285),"gen","feb","mar","apr","mag","giu","lug","ago","set","ott","nov","dic")&amp;" "&amp;RIGHT(YEAR(A285),2)</f>
        <v>mar 25</v>
      </c>
      <c r="C285">
        <f>SUMIFS(Movimenti!$V$5:$V$1004,Movimenti!$A$5:$A$1004,"&gt;="&amp;DATE(YEAR(A285),MONTH(A285)-11,1),Movimenti!$A$5:$A$1004,"&lt;="&amp;EOMONTH(A285,0))</f>
        <v>20.89</v>
      </c>
      <c r="AD285">
        <f>IF(AND(ISNUMBER(Movimenti!$A267),Movimenti!$L267&lt;&gt;""),Movimenti!$A267,$B$32)</f>
        <v>45596.0</v>
      </c>
      <c r="AE285">
        <f>IF(Movimenti!$L267="",0,N(Movimenti!$L267))</f>
        <v>0</v>
      </c>
    </row>
    <row r="286">
      <c r="A286">
        <f>DATE(YEAR($B$42),MONTH($B$42)-18,1)</f>
        <v>45748.0</v>
      </c>
      <c r="B286" t="str">
        <f>CHOOSE(MONTH(A286),"gen","feb","mar","apr","mag","giu","lug","ago","set","ott","nov","dic")&amp;" "&amp;RIGHT(YEAR(A286),2)</f>
        <v>apr 25</v>
      </c>
      <c r="C286">
        <f>SUMIFS(Movimenti!$V$5:$V$1004,Movimenti!$A$5:$A$1004,"&gt;="&amp;DATE(YEAR(A286),MONTH(A286)-11,1),Movimenti!$A$5:$A$1004,"&lt;="&amp;EOMONTH(A286,0))</f>
        <v>20.89</v>
      </c>
      <c r="AD286">
        <f>IF(AND(ISNUMBER(Movimenti!$A268),Movimenti!$L268&lt;&gt;""),Movimenti!$A268,$B$32)</f>
        <v>45596.0</v>
      </c>
      <c r="AE286">
        <f>IF(Movimenti!$L268="",0,N(Movimenti!$L268))</f>
        <v>0</v>
      </c>
    </row>
    <row r="287">
      <c r="A287">
        <f>DATE(YEAR($B$42),MONTH($B$42)-17,1)</f>
        <v>45778.0</v>
      </c>
      <c r="B287" t="str">
        <f>CHOOSE(MONTH(A287),"gen","feb","mar","apr","mag","giu","lug","ago","set","ott","nov","dic")&amp;" "&amp;RIGHT(YEAR(A287),2)</f>
        <v>mag 25</v>
      </c>
      <c r="C287">
        <f>SUMIFS(Movimenti!$V$5:$V$1004,Movimenti!$A$5:$A$1004,"&gt;="&amp;DATE(YEAR(A287),MONTH(A287)-11,1),Movimenti!$A$5:$A$1004,"&lt;="&amp;EOMONTH(A287,0))</f>
        <v>20.89</v>
      </c>
      <c r="AD287">
        <f>IF(AND(ISNUMBER(Movimenti!$A269),Movimenti!$L269&lt;&gt;""),Movimenti!$A269,$B$32)</f>
        <v>45596.0</v>
      </c>
      <c r="AE287">
        <f>IF(Movimenti!$L269="",0,N(Movimenti!$L269))</f>
        <v>0</v>
      </c>
    </row>
    <row r="288">
      <c r="A288">
        <f>DATE(YEAR($B$42),MONTH($B$42)-16,1)</f>
        <v>45809.0</v>
      </c>
      <c r="B288" t="str">
        <f>CHOOSE(MONTH(A288),"gen","feb","mar","apr","mag","giu","lug","ago","set","ott","nov","dic")&amp;" "&amp;RIGHT(YEAR(A288),2)</f>
        <v>giu 25</v>
      </c>
      <c r="C288">
        <f>SUMIFS(Movimenti!$V$5:$V$1004,Movimenti!$A$5:$A$1004,"&gt;="&amp;DATE(YEAR(A288),MONTH(A288)-11,1),Movimenti!$A$5:$A$1004,"&lt;="&amp;EOMONTH(A288,0))</f>
        <v>41.07</v>
      </c>
      <c r="AD288">
        <f>IF(AND(ISNUMBER(Movimenti!$A270),Movimenti!$L270&lt;&gt;""),Movimenti!$A270,$B$32)</f>
        <v>45596.0</v>
      </c>
      <c r="AE288">
        <f>IF(Movimenti!$L270="",0,N(Movimenti!$L270))</f>
        <v>0</v>
      </c>
    </row>
    <row r="289">
      <c r="A289">
        <f>DATE(YEAR($B$42),MONTH($B$42)-15,1)</f>
        <v>45839.0</v>
      </c>
      <c r="B289" t="str">
        <f>CHOOSE(MONTH(A289),"gen","feb","mar","apr","mag","giu","lug","ago","set","ott","nov","dic")&amp;" "&amp;RIGHT(YEAR(A289),2)</f>
        <v>lug 25</v>
      </c>
      <c r="C289">
        <f>SUMIFS(Movimenti!$V$5:$V$1004,Movimenti!$A$5:$A$1004,"&gt;="&amp;DATE(YEAR(A289),MONTH(A289)-11,1),Movimenti!$A$5:$A$1004,"&lt;="&amp;EOMONTH(A289,0))</f>
        <v>41.07</v>
      </c>
      <c r="AD289">
        <f>IF(AND(ISNUMBER(Movimenti!$A271),Movimenti!$L271&lt;&gt;""),Movimenti!$A271,$B$32)</f>
        <v>45596.0</v>
      </c>
      <c r="AE289">
        <f>IF(Movimenti!$L271="",0,N(Movimenti!$L271))</f>
        <v>0</v>
      </c>
    </row>
    <row r="290">
      <c r="A290">
        <f>DATE(YEAR($B$42),MONTH($B$42)-14,1)</f>
        <v>45870.0</v>
      </c>
      <c r="B290" t="str">
        <f>CHOOSE(MONTH(A290),"gen","feb","mar","apr","mag","giu","lug","ago","set","ott","nov","dic")&amp;" "&amp;RIGHT(YEAR(A290),2)</f>
        <v>ago 25</v>
      </c>
      <c r="C290">
        <f>SUMIFS(Movimenti!$V$5:$V$1004,Movimenti!$A$5:$A$1004,"&gt;="&amp;DATE(YEAR(A290),MONTH(A290)-11,1),Movimenti!$A$5:$A$1004,"&lt;="&amp;EOMONTH(A290,0))</f>
        <v>41.07</v>
      </c>
      <c r="AD290">
        <f>IF(AND(ISNUMBER(Movimenti!$A272),Movimenti!$L272&lt;&gt;""),Movimenti!$A272,$B$32)</f>
        <v>45596.0</v>
      </c>
      <c r="AE290">
        <f>IF(Movimenti!$L272="",0,N(Movimenti!$L272))</f>
        <v>0</v>
      </c>
    </row>
    <row r="291">
      <c r="A291">
        <f>DATE(YEAR($B$42),MONTH($B$42)-13,1)</f>
        <v>45901.0</v>
      </c>
      <c r="B291" t="str">
        <f>CHOOSE(MONTH(A291),"gen","feb","mar","apr","mag","giu","lug","ago","set","ott","nov","dic")&amp;" "&amp;RIGHT(YEAR(A291),2)</f>
        <v>set 25</v>
      </c>
      <c r="C291">
        <f>SUMIFS(Movimenti!$V$5:$V$1004,Movimenti!$A$5:$A$1004,"&gt;="&amp;DATE(YEAR(A291),MONTH(A291)-11,1),Movimenti!$A$5:$A$1004,"&lt;="&amp;EOMONTH(A291,0))</f>
        <v>46.04</v>
      </c>
      <c r="AD291">
        <f>IF(AND(ISNUMBER(Movimenti!$A273),Movimenti!$L273&lt;&gt;""),Movimenti!$A273,$B$32)</f>
        <v>45596.0</v>
      </c>
      <c r="AE291">
        <f>IF(Movimenti!$L273="",0,N(Movimenti!$L273))</f>
        <v>0</v>
      </c>
    </row>
    <row r="292">
      <c r="A292">
        <f>DATE(YEAR($B$42),MONTH($B$42)-12,1)</f>
        <v>45931.0</v>
      </c>
      <c r="B292" t="str">
        <f>CHOOSE(MONTH(A292),"gen","feb","mar","apr","mag","giu","lug","ago","set","ott","nov","dic")&amp;" "&amp;RIGHT(YEAR(A292),2)</f>
        <v>ott 25</v>
      </c>
      <c r="C292">
        <f>SUMIFS(Movimenti!$V$5:$V$1004,Movimenti!$A$5:$A$1004,"&gt;="&amp;DATE(YEAR(A292),MONTH(A292)-11,1),Movimenti!$A$5:$A$1004,"&lt;="&amp;EOMONTH(A292,0))</f>
        <v>46.04</v>
      </c>
      <c r="AD292">
        <f>IF(AND(ISNUMBER(Movimenti!$A274),Movimenti!$L274&lt;&gt;""),Movimenti!$A274,$B$32)</f>
        <v>45596.0</v>
      </c>
      <c r="AE292">
        <f>IF(Movimenti!$L274="",0,N(Movimenti!$L274))</f>
        <v>0</v>
      </c>
    </row>
    <row r="293">
      <c r="A293">
        <f>DATE(YEAR($B$42),MONTH($B$42)-11,1)</f>
        <v>45962.0</v>
      </c>
      <c r="B293" t="str">
        <f>CHOOSE(MONTH(A293),"gen","feb","mar","apr","mag","giu","lug","ago","set","ott","nov","dic")&amp;" "&amp;RIGHT(YEAR(A293),2)</f>
        <v>nov 25</v>
      </c>
      <c r="C293">
        <f>SUMIFS(Movimenti!$V$5:$V$1004,Movimenti!$A$5:$A$1004,"&gt;="&amp;DATE(YEAR(A293),MONTH(A293)-11,1),Movimenti!$A$5:$A$1004,"&lt;="&amp;EOMONTH(A293,0))</f>
        <v>46.04</v>
      </c>
      <c r="AD293">
        <f>IF(AND(ISNUMBER(Movimenti!$A275),Movimenti!$L275&lt;&gt;""),Movimenti!$A275,$B$32)</f>
        <v>45596.0</v>
      </c>
      <c r="AE293">
        <f>IF(Movimenti!$L275="",0,N(Movimenti!$L275))</f>
        <v>0</v>
      </c>
    </row>
    <row r="294">
      <c r="A294">
        <f>DATE(YEAR($B$42),MONTH($B$42)-10,1)</f>
        <v>45992.0</v>
      </c>
      <c r="B294" t="str">
        <f>CHOOSE(MONTH(A294),"gen","feb","mar","apr","mag","giu","lug","ago","set","ott","nov","dic")&amp;" "&amp;RIGHT(YEAR(A294),2)</f>
        <v>dic 25</v>
      </c>
      <c r="C294">
        <f>SUMIFS(Movimenti!$V$5:$V$1004,Movimenti!$A$5:$A$1004,"&gt;="&amp;DATE(YEAR(A294),MONTH(A294)-11,1),Movimenti!$A$5:$A$1004,"&lt;="&amp;EOMONTH(A294,0))</f>
        <v>50.68</v>
      </c>
      <c r="AD294">
        <f>IF(AND(ISNUMBER(Movimenti!$A276),Movimenti!$L276&lt;&gt;""),Movimenti!$A276,$B$32)</f>
        <v>45596.0</v>
      </c>
      <c r="AE294">
        <f>IF(Movimenti!$L276="",0,N(Movimenti!$L276))</f>
        <v>0</v>
      </c>
    </row>
    <row r="295">
      <c r="A295">
        <f>DATE(YEAR($B$42),MONTH($B$42)-9,1)</f>
        <v>46023.0</v>
      </c>
      <c r="B295" t="str">
        <f>CHOOSE(MONTH(A295),"gen","feb","mar","apr","mag","giu","lug","ago","set","ott","nov","dic")&amp;" "&amp;RIGHT(YEAR(A295),2)</f>
        <v>gen 26</v>
      </c>
      <c r="C295">
        <f>SUMIFS(Movimenti!$V$5:$V$1004,Movimenti!$A$5:$A$1004,"&gt;="&amp;DATE(YEAR(A295),MONTH(A295)-11,1),Movimenti!$A$5:$A$1004,"&lt;="&amp;EOMONTH(A295,0))</f>
        <v>50.68</v>
      </c>
      <c r="AD295">
        <f>IF(AND(ISNUMBER(Movimenti!$A277),Movimenti!$L277&lt;&gt;""),Movimenti!$A277,$B$32)</f>
        <v>45596.0</v>
      </c>
      <c r="AE295">
        <f>IF(Movimenti!$L277="",0,N(Movimenti!$L277))</f>
        <v>0</v>
      </c>
    </row>
    <row r="296">
      <c r="A296">
        <f>DATE(YEAR($B$42),MONTH($B$42)-8,1)</f>
        <v>46054.0</v>
      </c>
      <c r="B296" t="str">
        <f>CHOOSE(MONTH(A296),"gen","feb","mar","apr","mag","giu","lug","ago","set","ott","nov","dic")&amp;" "&amp;RIGHT(YEAR(A296),2)</f>
        <v>feb 26</v>
      </c>
      <c r="C296">
        <f>SUMIFS(Movimenti!$V$5:$V$1004,Movimenti!$A$5:$A$1004,"&gt;="&amp;DATE(YEAR(A296),MONTH(A296)-11,1),Movimenti!$A$5:$A$1004,"&lt;="&amp;EOMONTH(A296,0))</f>
        <v>50.68</v>
      </c>
      <c r="AD296">
        <f>IF(AND(ISNUMBER(Movimenti!$A278),Movimenti!$L278&lt;&gt;""),Movimenti!$A278,$B$32)</f>
        <v>45596.0</v>
      </c>
      <c r="AE296">
        <f>IF(Movimenti!$L278="",0,N(Movimenti!$L278))</f>
        <v>0</v>
      </c>
    </row>
    <row r="297">
      <c r="A297">
        <f>DATE(YEAR($B$42),MONTH($B$42)-7,1)</f>
        <v>46082.0</v>
      </c>
      <c r="B297" t="str">
        <f>CHOOSE(MONTH(A297),"gen","feb","mar","apr","mag","giu","lug","ago","set","ott","nov","dic")&amp;" "&amp;RIGHT(YEAR(A297),2)</f>
        <v>mar 26</v>
      </c>
      <c r="C297">
        <f>SUMIFS(Movimenti!$V$5:$V$1004,Movimenti!$A$5:$A$1004,"&gt;="&amp;DATE(YEAR(A297),MONTH(A297)-11,1),Movimenti!$A$5:$A$1004,"&lt;="&amp;EOMONTH(A297,0))</f>
        <v>53.88</v>
      </c>
      <c r="AD297">
        <f>IF(AND(ISNUMBER(Movimenti!$A279),Movimenti!$L279&lt;&gt;""),Movimenti!$A279,$B$32)</f>
        <v>45596.0</v>
      </c>
      <c r="AE297">
        <f>IF(Movimenti!$L279="",0,N(Movimenti!$L279))</f>
        <v>0</v>
      </c>
    </row>
    <row r="298">
      <c r="A298">
        <f>DATE(YEAR($B$42),MONTH($B$42)-6,1)</f>
        <v>46113.0</v>
      </c>
      <c r="B298" t="str">
        <f>CHOOSE(MONTH(A298),"gen","feb","mar","apr","mag","giu","lug","ago","set","ott","nov","dic")&amp;" "&amp;RIGHT(YEAR(A298),2)</f>
        <v>apr 26</v>
      </c>
      <c r="C298">
        <f>SUMIFS(Movimenti!$V$5:$V$1004,Movimenti!$A$5:$A$1004,"&gt;="&amp;DATE(YEAR(A298),MONTH(A298)-11,1),Movimenti!$A$5:$A$1004,"&lt;="&amp;EOMONTH(A298,0))</f>
        <v>53.88</v>
      </c>
      <c r="AD298">
        <f>IF(AND(ISNUMBER(Movimenti!$A280),Movimenti!$L280&lt;&gt;""),Movimenti!$A280,$B$32)</f>
        <v>45596.0</v>
      </c>
      <c r="AE298">
        <f>IF(Movimenti!$L280="",0,N(Movimenti!$L280))</f>
        <v>0</v>
      </c>
    </row>
    <row r="299">
      <c r="A299">
        <f>DATE(YEAR($B$42),MONTH($B$42)-5,1)</f>
        <v>46143.0</v>
      </c>
      <c r="B299" t="str">
        <f>CHOOSE(MONTH(A299),"gen","feb","mar","apr","mag","giu","lug","ago","set","ott","nov","dic")&amp;" "&amp;RIGHT(YEAR(A299),2)</f>
        <v>mag 26</v>
      </c>
      <c r="C299">
        <f>SUMIFS(Movimenti!$V$5:$V$1004,Movimenti!$A$5:$A$1004,"&gt;="&amp;DATE(YEAR(A299),MONTH(A299)-11,1),Movimenti!$A$5:$A$1004,"&lt;="&amp;EOMONTH(A299,0))</f>
        <v>53.88</v>
      </c>
      <c r="AD299">
        <f>IF(AND(ISNUMBER(Movimenti!$A281),Movimenti!$L281&lt;&gt;""),Movimenti!$A281,$B$32)</f>
        <v>45596.0</v>
      </c>
      <c r="AE299">
        <f>IF(Movimenti!$L281="",0,N(Movimenti!$L281))</f>
        <v>0</v>
      </c>
    </row>
    <row r="300">
      <c r="A300">
        <f>DATE(YEAR($B$42),MONTH($B$42)-4,1)</f>
        <v>46174.0</v>
      </c>
      <c r="B300" t="str">
        <f>CHOOSE(MONTH(A300),"gen","feb","mar","apr","mag","giu","lug","ago","set","ott","nov","dic")&amp;" "&amp;RIGHT(YEAR(A300),2)</f>
        <v>giu 26</v>
      </c>
      <c r="C300">
        <f>SUMIFS(Movimenti!$V$5:$V$1004,Movimenti!$A$5:$A$1004,"&gt;="&amp;DATE(YEAR(A300),MONTH(A300)-11,1),Movimenti!$A$5:$A$1004,"&lt;="&amp;EOMONTH(A300,0))</f>
        <v>60.53</v>
      </c>
      <c r="AD300">
        <f>IF(AND(ISNUMBER(Movimenti!$A282),Movimenti!$L282&lt;&gt;""),Movimenti!$A282,$B$32)</f>
        <v>45596.0</v>
      </c>
      <c r="AE300">
        <f>IF(Movimenti!$L282="",0,N(Movimenti!$L282))</f>
        <v>0</v>
      </c>
    </row>
    <row r="301">
      <c r="A301">
        <f>DATE(YEAR($B$42),MONTH($B$42)-3,1)</f>
        <v>46204.0</v>
      </c>
      <c r="B301" t="str">
        <f>CHOOSE(MONTH(A301),"gen","feb","mar","apr","mag","giu","lug","ago","set","ott","nov","dic")&amp;" "&amp;RIGHT(YEAR(A301),2)</f>
        <v>lug 26</v>
      </c>
      <c r="C301">
        <f>SUMIFS(Movimenti!$V$5:$V$1004,Movimenti!$A$5:$A$1004,"&gt;="&amp;DATE(YEAR(A301),MONTH(A301)-11,1),Movimenti!$A$5:$A$1004,"&lt;="&amp;EOMONTH(A301,0))</f>
        <v>60.53</v>
      </c>
      <c r="AD301">
        <f>IF(AND(ISNUMBER(Movimenti!$A283),Movimenti!$L283&lt;&gt;""),Movimenti!$A283,$B$32)</f>
        <v>45596.0</v>
      </c>
      <c r="AE301">
        <f>IF(Movimenti!$L283="",0,N(Movimenti!$L283))</f>
        <v>0</v>
      </c>
    </row>
    <row r="302">
      <c r="A302">
        <f>DATE(YEAR($B$42),MONTH($B$42)-2,1)</f>
        <v>46235.0</v>
      </c>
      <c r="B302" t="str">
        <f>CHOOSE(MONTH(A302),"gen","feb","mar","apr","mag","giu","lug","ago","set","ott","nov","dic")&amp;" "&amp;RIGHT(YEAR(A302),2)</f>
        <v>ago 26</v>
      </c>
      <c r="C302">
        <f>SUMIFS(Movimenti!$V$5:$V$1004,Movimenti!$A$5:$A$1004,"&gt;="&amp;DATE(YEAR(A302),MONTH(A302)-11,1),Movimenti!$A$5:$A$1004,"&lt;="&amp;EOMONTH(A302,0))</f>
        <v>60.53</v>
      </c>
      <c r="AD302">
        <f>IF(AND(ISNUMBER(Movimenti!$A284),Movimenti!$L284&lt;&gt;""),Movimenti!$A284,$B$32)</f>
        <v>45596.0</v>
      </c>
      <c r="AE302">
        <f>IF(Movimenti!$L284="",0,N(Movimenti!$L284))</f>
        <v>0</v>
      </c>
    </row>
    <row r="303">
      <c r="A303">
        <f>DATE(YEAR($B$42),MONTH($B$42)-1,1)</f>
        <v>46266.0</v>
      </c>
      <c r="B303" t="str">
        <f>CHOOSE(MONTH(A303),"gen","feb","mar","apr","mag","giu","lug","ago","set","ott","nov","dic")&amp;" "&amp;RIGHT(YEAR(A303),2)</f>
        <v>set 26</v>
      </c>
      <c r="C303">
        <f>SUMIFS(Movimenti!$V$5:$V$1004,Movimenti!$A$5:$A$1004,"&gt;="&amp;DATE(YEAR(A303),MONTH(A303)-11,1),Movimenti!$A$5:$A$1004,"&lt;="&amp;EOMONTH(A303,0))</f>
        <v>62.13</v>
      </c>
      <c r="AD303">
        <f>IF(AND(ISNUMBER(Movimenti!$A285),Movimenti!$L285&lt;&gt;""),Movimenti!$A285,$B$32)</f>
        <v>45596.0</v>
      </c>
      <c r="AE303">
        <f>IF(Movimenti!$L285="",0,N(Movimenti!$L285))</f>
        <v>0</v>
      </c>
    </row>
    <row r="304">
      <c r="A304">
        <f>DATE(YEAR($B$42),MONTH($B$42)-0,1)</f>
        <v>46296.0</v>
      </c>
      <c r="B304" t="str">
        <f>CHOOSE(MONTH(A304),"gen","feb","mar","apr","mag","giu","lug","ago","set","ott","nov","dic")&amp;" "&amp;RIGHT(YEAR(A304),2)</f>
        <v>ott 26</v>
      </c>
      <c r="C304">
        <f>SUMIFS(Movimenti!$V$5:$V$1004,Movimenti!$A$5:$A$1004,"&gt;="&amp;DATE(YEAR(A304),MONTH(A304)-11,1),Movimenti!$A$5:$A$1004,"&lt;="&amp;EOMONTH(A304,0))</f>
        <v>62.13</v>
      </c>
      <c r="AD304">
        <f>IF(AND(ISNUMBER(Movimenti!$A286),Movimenti!$L286&lt;&gt;""),Movimenti!$A286,$B$32)</f>
        <v>45596.0</v>
      </c>
      <c r="AE304">
        <f>IF(Movimenti!$L286="",0,N(Movimenti!$L286))</f>
        <v>0</v>
      </c>
    </row>
    <row r="305">
      <c r="AD305">
        <f>IF(AND(ISNUMBER(Movimenti!$A287),Movimenti!$L287&lt;&gt;""),Movimenti!$A287,$B$32)</f>
        <v>45596.0</v>
      </c>
      <c r="AE305">
        <f>IF(Movimenti!$L287="",0,N(Movimenti!$L287))</f>
        <v>0</v>
      </c>
    </row>
    <row r="306">
      <c r="AD306">
        <f>IF(AND(ISNUMBER(Movimenti!$A288),Movimenti!$L288&lt;&gt;""),Movimenti!$A288,$B$32)</f>
        <v>45596.0</v>
      </c>
      <c r="AE306">
        <f>IF(Movimenti!$L288="",0,N(Movimenti!$L288))</f>
        <v>0</v>
      </c>
    </row>
    <row r="307">
      <c r="AD307">
        <f>IF(AND(ISNUMBER(Movimenti!$A289),Movimenti!$L289&lt;&gt;""),Movimenti!$A289,$B$32)</f>
        <v>45596.0</v>
      </c>
      <c r="AE307">
        <f>IF(Movimenti!$L289="",0,N(Movimenti!$L289))</f>
        <v>0</v>
      </c>
    </row>
    <row r="308">
      <c r="AD308">
        <f>IF(AND(ISNUMBER(Movimenti!$A290),Movimenti!$L290&lt;&gt;""),Movimenti!$A290,$B$32)</f>
        <v>45596.0</v>
      </c>
      <c r="AE308">
        <f>IF(Movimenti!$L290="",0,N(Movimenti!$L290))</f>
        <v>0</v>
      </c>
    </row>
    <row r="309">
      <c r="AD309">
        <f>IF(AND(ISNUMBER(Movimenti!$A291),Movimenti!$L291&lt;&gt;""),Movimenti!$A291,$B$32)</f>
        <v>45596.0</v>
      </c>
      <c r="AE309">
        <f>IF(Movimenti!$L291="",0,N(Movimenti!$L291))</f>
        <v>0</v>
      </c>
    </row>
    <row r="310">
      <c r="A310" t="str">
        <f>IFERROR(INDEX($A$1:$A$21,SMALL($AG$7:$AG$21,1)),"")</f>
        <v>Azionario Emergenti</v>
      </c>
      <c r="B310">
        <f>IF($A310="","",SUMIFS(Movimenti!$V$5:$V$1004,Movimenti!$C$5:$C$1004,$A310,Movimenti!$A$5:$A$1004,"&gt;="&amp;DATE($B$250,1,1),Movimenti!$A$5:$A$1004,"&lt;"&amp;DATE($B$250,1+1,1)))</f>
        <v>0</v>
      </c>
      <c r="C310">
        <f>IF($A310="","",SUMIFS(Movimenti!$V$5:$V$1004,Movimenti!$C$5:$C$1004,$A310,Movimenti!$A$5:$A$1004,"&gt;="&amp;DATE($B$250,2,1),Movimenti!$A$5:$A$1004,"&lt;"&amp;DATE($B$250,2+1,1)))</f>
        <v>0</v>
      </c>
      <c r="D310">
        <f>IF($A310="","",SUMIFS(Movimenti!$V$5:$V$1004,Movimenti!$C$5:$C$1004,$A310,Movimenti!$A$5:$A$1004,"&gt;="&amp;DATE($B$250,3,1),Movimenti!$A$5:$A$1004,"&lt;"&amp;DATE($B$250,3+1,1)))</f>
        <v>6.22</v>
      </c>
      <c r="E310">
        <f>IF($A310="","",SUMIFS(Movimenti!$V$5:$V$1004,Movimenti!$C$5:$C$1004,$A310,Movimenti!$A$5:$A$1004,"&gt;="&amp;DATE($B$250,4,1),Movimenti!$A$5:$A$1004,"&lt;"&amp;DATE($B$250,4+1,1)))</f>
        <v>0</v>
      </c>
      <c r="F310">
        <f>IF($A310="","",SUMIFS(Movimenti!$V$5:$V$1004,Movimenti!$C$5:$C$1004,$A310,Movimenti!$A$5:$A$1004,"&gt;="&amp;DATE($B$250,5,1),Movimenti!$A$5:$A$1004,"&lt;"&amp;DATE($B$250,5+1,1)))</f>
        <v>0</v>
      </c>
      <c r="G310">
        <f>IF($A310="","",SUMIFS(Movimenti!$V$5:$V$1004,Movimenti!$C$5:$C$1004,$A310,Movimenti!$A$5:$A$1004,"&gt;="&amp;DATE($B$250,6,1),Movimenti!$A$5:$A$1004,"&lt;"&amp;DATE($B$250,6+1,1)))</f>
        <v>6.22</v>
      </c>
      <c r="H310">
        <f>IF($A310="","",SUMIFS(Movimenti!$V$5:$V$1004,Movimenti!$C$5:$C$1004,$A310,Movimenti!$A$5:$A$1004,"&gt;="&amp;DATE($B$250,7,1),Movimenti!$A$5:$A$1004,"&lt;"&amp;DATE($B$250,7+1,1)))</f>
        <v>0</v>
      </c>
      <c r="I310">
        <f>IF($A310="","",SUMIFS(Movimenti!$V$5:$V$1004,Movimenti!$C$5:$C$1004,$A310,Movimenti!$A$5:$A$1004,"&gt;="&amp;DATE($B$250,8,1),Movimenti!$A$5:$A$1004,"&lt;"&amp;DATE($B$250,8+1,1)))</f>
        <v>0</v>
      </c>
      <c r="J310">
        <f>IF($A310="","",SUMIFS(Movimenti!$V$5:$V$1004,Movimenti!$C$5:$C$1004,$A310,Movimenti!$A$5:$A$1004,"&gt;="&amp;DATE($B$250,9,1),Movimenti!$A$5:$A$1004,"&lt;"&amp;DATE($B$250,9+1,1)))</f>
        <v>6.57</v>
      </c>
      <c r="K310">
        <f>IF($A310="","",SUMIFS(Movimenti!$V$5:$V$1004,Movimenti!$C$5:$C$1004,$A310,Movimenti!$A$5:$A$1004,"&gt;="&amp;DATE($B$250,10,1),Movimenti!$A$5:$A$1004,"&lt;"&amp;DATE($B$250,10+1,1)))</f>
        <v>0</v>
      </c>
      <c r="L310">
        <f>IF($A310="","",SUMIFS(Movimenti!$V$5:$V$1004,Movimenti!$C$5:$C$1004,$A310,Movimenti!$A$5:$A$1004,"&gt;="&amp;DATE($B$250,11,1),Movimenti!$A$5:$A$1004,"&lt;"&amp;DATE($B$250,11+1,1)))</f>
        <v>0</v>
      </c>
      <c r="M310">
        <f>IF($A310="","",SUMIFS(Movimenti!$V$5:$V$1004,Movimenti!$C$5:$C$1004,$A310,Movimenti!$A$5:$A$1004,"&gt;="&amp;DATE($B$250,12,1),Movimenti!$A$5:$A$1004,"&lt;"&amp;DATE($B$250,12+1,1)))</f>
        <v>0</v>
      </c>
      <c r="N310">
        <f>IF($A310="","",SUM(B310:M310))</f>
        <v>19.01</v>
      </c>
      <c r="O310">
        <f>IF($A310="","",SUMIFS(Movimenti!$V$5:$V$1004,Movimenti!$C$5:$C$1004,$A310))</f>
        <v>37.66</v>
      </c>
      <c r="AD310">
        <f>IF(AND(ISNUMBER(Movimenti!$A292),Movimenti!$L292&lt;&gt;""),Movimenti!$A292,$B$32)</f>
        <v>45596.0</v>
      </c>
      <c r="AE310">
        <f>IF(Movimenti!$L292="",0,N(Movimenti!$L292))</f>
        <v>0</v>
      </c>
    </row>
    <row r="311">
      <c r="A311" t="str">
        <f>IFERROR(INDEX($A$1:$A$21,SMALL($AG$7:$AG$21,2)),"")</f>
        <v>Titoli di Stato Euro</v>
      </c>
      <c r="B311">
        <f>IF($A311="","",SUMIFS(Movimenti!$V$5:$V$1004,Movimenti!$C$5:$C$1004,$A311,Movimenti!$A$5:$A$1004,"&gt;="&amp;DATE($B$250,1,1),Movimenti!$A$5:$A$1004,"&lt;"&amp;DATE($B$250,1+1,1)))</f>
        <v>0</v>
      </c>
      <c r="C311">
        <f>IF($A311="","",SUMIFS(Movimenti!$V$5:$V$1004,Movimenti!$C$5:$C$1004,$A311,Movimenti!$A$5:$A$1004,"&gt;="&amp;DATE($B$250,2,1),Movimenti!$A$5:$A$1004,"&lt;"&amp;DATE($B$250,2+1,1)))</f>
        <v>0</v>
      </c>
      <c r="D311">
        <f>IF($A311="","",SUMIFS(Movimenti!$V$5:$V$1004,Movimenti!$C$5:$C$1004,$A311,Movimenti!$A$5:$A$1004,"&gt;="&amp;DATE($B$250,3,1),Movimenti!$A$5:$A$1004,"&lt;"&amp;DATE($B$250,3+1,1)))</f>
        <v>0</v>
      </c>
      <c r="E311">
        <f>IF($A311="","",SUMIFS(Movimenti!$V$5:$V$1004,Movimenti!$C$5:$C$1004,$A311,Movimenti!$A$5:$A$1004,"&gt;="&amp;DATE($B$250,4,1),Movimenti!$A$5:$A$1004,"&lt;"&amp;DATE($B$250,4+1,1)))</f>
        <v>0</v>
      </c>
      <c r="F311">
        <f>IF($A311="","",SUMIFS(Movimenti!$V$5:$V$1004,Movimenti!$C$5:$C$1004,$A311,Movimenti!$A$5:$A$1004,"&gt;="&amp;DATE($B$250,5,1),Movimenti!$A$5:$A$1004,"&lt;"&amp;DATE($B$250,5+1,1)))</f>
        <v>0</v>
      </c>
      <c r="G311">
        <f>IF($A311="","",SUMIFS(Movimenti!$V$5:$V$1004,Movimenti!$C$5:$C$1004,$A311,Movimenti!$A$5:$A$1004,"&gt;="&amp;DATE($B$250,6,1),Movimenti!$A$5:$A$1004,"&lt;"&amp;DATE($B$250,6+1,1)))</f>
        <v>20.61</v>
      </c>
      <c r="H311">
        <f>IF($A311="","",SUMIFS(Movimenti!$V$5:$V$1004,Movimenti!$C$5:$C$1004,$A311,Movimenti!$A$5:$A$1004,"&gt;="&amp;DATE($B$250,7,1),Movimenti!$A$5:$A$1004,"&lt;"&amp;DATE($B$250,7+1,1)))</f>
        <v>0</v>
      </c>
      <c r="I311">
        <f>IF($A311="","",SUMIFS(Movimenti!$V$5:$V$1004,Movimenti!$C$5:$C$1004,$A311,Movimenti!$A$5:$A$1004,"&gt;="&amp;DATE($B$250,8,1),Movimenti!$A$5:$A$1004,"&lt;"&amp;DATE($B$250,8+1,1)))</f>
        <v>0</v>
      </c>
      <c r="J311">
        <f>IF($A311="","",SUMIFS(Movimenti!$V$5:$V$1004,Movimenti!$C$5:$C$1004,$A311,Movimenti!$A$5:$A$1004,"&gt;="&amp;DATE($B$250,9,1),Movimenti!$A$5:$A$1004,"&lt;"&amp;DATE($B$250,9+1,1)))</f>
        <v>0</v>
      </c>
      <c r="K311">
        <f>IF($A311="","",SUMIFS(Movimenti!$V$5:$V$1004,Movimenti!$C$5:$C$1004,$A311,Movimenti!$A$5:$A$1004,"&gt;="&amp;DATE($B$250,10,1),Movimenti!$A$5:$A$1004,"&lt;"&amp;DATE($B$250,10+1,1)))</f>
        <v>0</v>
      </c>
      <c r="L311">
        <f>IF($A311="","",SUMIFS(Movimenti!$V$5:$V$1004,Movimenti!$C$5:$C$1004,$A311,Movimenti!$A$5:$A$1004,"&gt;="&amp;DATE($B$250,11,1),Movimenti!$A$5:$A$1004,"&lt;"&amp;DATE($B$250,11+1,1)))</f>
        <v>0</v>
      </c>
      <c r="M311">
        <f>IF($A311="","",SUMIFS(Movimenti!$V$5:$V$1004,Movimenti!$C$5:$C$1004,$A311,Movimenti!$A$5:$A$1004,"&gt;="&amp;DATE($B$250,12,1),Movimenti!$A$5:$A$1004,"&lt;"&amp;DATE($B$250,12+1,1)))</f>
        <v>0</v>
      </c>
      <c r="N311">
        <f>IF($A311="","",SUM(B311:M311))</f>
        <v>20.61</v>
      </c>
      <c r="O311">
        <f>IF($A311="","",SUMIFS(Movimenti!$V$5:$V$1004,Movimenti!$C$5:$C$1004,$A311))</f>
        <v>70.51</v>
      </c>
      <c r="AD311">
        <f>IF(AND(ISNUMBER(Movimenti!$A293),Movimenti!$L293&lt;&gt;""),Movimenti!$A293,$B$32)</f>
        <v>45596.0</v>
      </c>
      <c r="AE311">
        <f>IF(Movimenti!$L293="",0,N(Movimenti!$L293))</f>
        <v>0</v>
      </c>
    </row>
    <row r="312">
      <c r="A312" t="str">
        <f>IFERROR(INDEX($A$1:$A$21,SMALL($AG$7:$AG$21,3)),"")</f>
        <v/>
      </c>
      <c r="B312" t="str">
        <f>IF($A312="","",SUMIFS(Movimenti!$V$5:$V$1004,Movimenti!$C$5:$C$1004,$A312,Movimenti!$A$5:$A$1004,"&gt;="&amp;DATE($B$250,1,1),Movimenti!$A$5:$A$1004,"&lt;"&amp;DATE($B$250,1+1,1)))</f>
        <v/>
      </c>
      <c r="C312" t="str">
        <f>IF($A312="","",SUMIFS(Movimenti!$V$5:$V$1004,Movimenti!$C$5:$C$1004,$A312,Movimenti!$A$5:$A$1004,"&gt;="&amp;DATE($B$250,2,1),Movimenti!$A$5:$A$1004,"&lt;"&amp;DATE($B$250,2+1,1)))</f>
        <v/>
      </c>
      <c r="D312" t="str">
        <f>IF($A312="","",SUMIFS(Movimenti!$V$5:$V$1004,Movimenti!$C$5:$C$1004,$A312,Movimenti!$A$5:$A$1004,"&gt;="&amp;DATE($B$250,3,1),Movimenti!$A$5:$A$1004,"&lt;"&amp;DATE($B$250,3+1,1)))</f>
        <v/>
      </c>
      <c r="E312" t="str">
        <f>IF($A312="","",SUMIFS(Movimenti!$V$5:$V$1004,Movimenti!$C$5:$C$1004,$A312,Movimenti!$A$5:$A$1004,"&gt;="&amp;DATE($B$250,4,1),Movimenti!$A$5:$A$1004,"&lt;"&amp;DATE($B$250,4+1,1)))</f>
        <v/>
      </c>
      <c r="F312" t="str">
        <f>IF($A312="","",SUMIFS(Movimenti!$V$5:$V$1004,Movimenti!$C$5:$C$1004,$A312,Movimenti!$A$5:$A$1004,"&gt;="&amp;DATE($B$250,5,1),Movimenti!$A$5:$A$1004,"&lt;"&amp;DATE($B$250,5+1,1)))</f>
        <v/>
      </c>
      <c r="G312" t="str">
        <f>IF($A312="","",SUMIFS(Movimenti!$V$5:$V$1004,Movimenti!$C$5:$C$1004,$A312,Movimenti!$A$5:$A$1004,"&gt;="&amp;DATE($B$250,6,1),Movimenti!$A$5:$A$1004,"&lt;"&amp;DATE($B$250,6+1,1)))</f>
        <v/>
      </c>
      <c r="H312" t="str">
        <f>IF($A312="","",SUMIFS(Movimenti!$V$5:$V$1004,Movimenti!$C$5:$C$1004,$A312,Movimenti!$A$5:$A$1004,"&gt;="&amp;DATE($B$250,7,1),Movimenti!$A$5:$A$1004,"&lt;"&amp;DATE($B$250,7+1,1)))</f>
        <v/>
      </c>
      <c r="I312" t="str">
        <f>IF($A312="","",SUMIFS(Movimenti!$V$5:$V$1004,Movimenti!$C$5:$C$1004,$A312,Movimenti!$A$5:$A$1004,"&gt;="&amp;DATE($B$250,8,1),Movimenti!$A$5:$A$1004,"&lt;"&amp;DATE($B$250,8+1,1)))</f>
        <v/>
      </c>
      <c r="J312" t="str">
        <f>IF($A312="","",SUMIFS(Movimenti!$V$5:$V$1004,Movimenti!$C$5:$C$1004,$A312,Movimenti!$A$5:$A$1004,"&gt;="&amp;DATE($B$250,9,1),Movimenti!$A$5:$A$1004,"&lt;"&amp;DATE($B$250,9+1,1)))</f>
        <v/>
      </c>
      <c r="K312" t="str">
        <f>IF($A312="","",SUMIFS(Movimenti!$V$5:$V$1004,Movimenti!$C$5:$C$1004,$A312,Movimenti!$A$5:$A$1004,"&gt;="&amp;DATE($B$250,10,1),Movimenti!$A$5:$A$1004,"&lt;"&amp;DATE($B$250,10+1,1)))</f>
        <v/>
      </c>
      <c r="L312" t="str">
        <f>IF($A312="","",SUMIFS(Movimenti!$V$5:$V$1004,Movimenti!$C$5:$C$1004,$A312,Movimenti!$A$5:$A$1004,"&gt;="&amp;DATE($B$250,11,1),Movimenti!$A$5:$A$1004,"&lt;"&amp;DATE($B$250,11+1,1)))</f>
        <v/>
      </c>
      <c r="M312" t="str">
        <f>IF($A312="","",SUMIFS(Movimenti!$V$5:$V$1004,Movimenti!$C$5:$C$1004,$A312,Movimenti!$A$5:$A$1004,"&gt;="&amp;DATE($B$250,12,1),Movimenti!$A$5:$A$1004,"&lt;"&amp;DATE($B$250,12+1,1)))</f>
        <v/>
      </c>
      <c r="N312" t="str">
        <f>IF($A312="","",SUM(B312:M312))</f>
        <v/>
      </c>
      <c r="O312" t="str">
        <f>IF($A312="","",SUMIFS(Movimenti!$V$5:$V$1004,Movimenti!$C$5:$C$1004,$A312))</f>
        <v/>
      </c>
      <c r="AD312">
        <f>IF(AND(ISNUMBER(Movimenti!$A294),Movimenti!$L294&lt;&gt;""),Movimenti!$A294,$B$32)</f>
        <v>45596.0</v>
      </c>
      <c r="AE312">
        <f>IF(Movimenti!$L294="",0,N(Movimenti!$L294))</f>
        <v>0</v>
      </c>
    </row>
    <row r="313">
      <c r="A313" t="str">
        <f>IFERROR(INDEX($A$1:$A$21,SMALL($AG$7:$AG$21,4)),"")</f>
        <v/>
      </c>
      <c r="B313" t="str">
        <f>IF($A313="","",SUMIFS(Movimenti!$V$5:$V$1004,Movimenti!$C$5:$C$1004,$A313,Movimenti!$A$5:$A$1004,"&gt;="&amp;DATE($B$250,1,1),Movimenti!$A$5:$A$1004,"&lt;"&amp;DATE($B$250,1+1,1)))</f>
        <v/>
      </c>
      <c r="C313" t="str">
        <f>IF($A313="","",SUMIFS(Movimenti!$V$5:$V$1004,Movimenti!$C$5:$C$1004,$A313,Movimenti!$A$5:$A$1004,"&gt;="&amp;DATE($B$250,2,1),Movimenti!$A$5:$A$1004,"&lt;"&amp;DATE($B$250,2+1,1)))</f>
        <v/>
      </c>
      <c r="D313" t="str">
        <f>IF($A313="","",SUMIFS(Movimenti!$V$5:$V$1004,Movimenti!$C$5:$C$1004,$A313,Movimenti!$A$5:$A$1004,"&gt;="&amp;DATE($B$250,3,1),Movimenti!$A$5:$A$1004,"&lt;"&amp;DATE($B$250,3+1,1)))</f>
        <v/>
      </c>
      <c r="E313" t="str">
        <f>IF($A313="","",SUMIFS(Movimenti!$V$5:$V$1004,Movimenti!$C$5:$C$1004,$A313,Movimenti!$A$5:$A$1004,"&gt;="&amp;DATE($B$250,4,1),Movimenti!$A$5:$A$1004,"&lt;"&amp;DATE($B$250,4+1,1)))</f>
        <v/>
      </c>
      <c r="F313" t="str">
        <f>IF($A313="","",SUMIFS(Movimenti!$V$5:$V$1004,Movimenti!$C$5:$C$1004,$A313,Movimenti!$A$5:$A$1004,"&gt;="&amp;DATE($B$250,5,1),Movimenti!$A$5:$A$1004,"&lt;"&amp;DATE($B$250,5+1,1)))</f>
        <v/>
      </c>
      <c r="G313" t="str">
        <f>IF($A313="","",SUMIFS(Movimenti!$V$5:$V$1004,Movimenti!$C$5:$C$1004,$A313,Movimenti!$A$5:$A$1004,"&gt;="&amp;DATE($B$250,6,1),Movimenti!$A$5:$A$1004,"&lt;"&amp;DATE($B$250,6+1,1)))</f>
        <v/>
      </c>
      <c r="H313" t="str">
        <f>IF($A313="","",SUMIFS(Movimenti!$V$5:$V$1004,Movimenti!$C$5:$C$1004,$A313,Movimenti!$A$5:$A$1004,"&gt;="&amp;DATE($B$250,7,1),Movimenti!$A$5:$A$1004,"&lt;"&amp;DATE($B$250,7+1,1)))</f>
        <v/>
      </c>
      <c r="I313" t="str">
        <f>IF($A313="","",SUMIFS(Movimenti!$V$5:$V$1004,Movimenti!$C$5:$C$1004,$A313,Movimenti!$A$5:$A$1004,"&gt;="&amp;DATE($B$250,8,1),Movimenti!$A$5:$A$1004,"&lt;"&amp;DATE($B$250,8+1,1)))</f>
        <v/>
      </c>
      <c r="J313" t="str">
        <f>IF($A313="","",SUMIFS(Movimenti!$V$5:$V$1004,Movimenti!$C$5:$C$1004,$A313,Movimenti!$A$5:$A$1004,"&gt;="&amp;DATE($B$250,9,1),Movimenti!$A$5:$A$1004,"&lt;"&amp;DATE($B$250,9+1,1)))</f>
        <v/>
      </c>
      <c r="K313" t="str">
        <f>IF($A313="","",SUMIFS(Movimenti!$V$5:$V$1004,Movimenti!$C$5:$C$1004,$A313,Movimenti!$A$5:$A$1004,"&gt;="&amp;DATE($B$250,10,1),Movimenti!$A$5:$A$1004,"&lt;"&amp;DATE($B$250,10+1,1)))</f>
        <v/>
      </c>
      <c r="L313" t="str">
        <f>IF($A313="","",SUMIFS(Movimenti!$V$5:$V$1004,Movimenti!$C$5:$C$1004,$A313,Movimenti!$A$5:$A$1004,"&gt;="&amp;DATE($B$250,11,1),Movimenti!$A$5:$A$1004,"&lt;"&amp;DATE($B$250,11+1,1)))</f>
        <v/>
      </c>
      <c r="M313" t="str">
        <f>IF($A313="","",SUMIFS(Movimenti!$V$5:$V$1004,Movimenti!$C$5:$C$1004,$A313,Movimenti!$A$5:$A$1004,"&gt;="&amp;DATE($B$250,12,1),Movimenti!$A$5:$A$1004,"&lt;"&amp;DATE($B$250,12+1,1)))</f>
        <v/>
      </c>
      <c r="N313" t="str">
        <f>IF($A313="","",SUM(B313:M313))</f>
        <v/>
      </c>
      <c r="O313" t="str">
        <f>IF($A313="","",SUMIFS(Movimenti!$V$5:$V$1004,Movimenti!$C$5:$C$1004,$A313))</f>
        <v/>
      </c>
      <c r="AD313">
        <f>IF(AND(ISNUMBER(Movimenti!$A295),Movimenti!$L295&lt;&gt;""),Movimenti!$A295,$B$32)</f>
        <v>45596.0</v>
      </c>
      <c r="AE313">
        <f>IF(Movimenti!$L295="",0,N(Movimenti!$L295))</f>
        <v>0</v>
      </c>
    </row>
    <row r="314">
      <c r="A314" t="str">
        <f>IFERROR(INDEX($A$1:$A$21,SMALL($AG$7:$AG$21,5)),"")</f>
        <v/>
      </c>
      <c r="B314" t="str">
        <f>IF($A314="","",SUMIFS(Movimenti!$V$5:$V$1004,Movimenti!$C$5:$C$1004,$A314,Movimenti!$A$5:$A$1004,"&gt;="&amp;DATE($B$250,1,1),Movimenti!$A$5:$A$1004,"&lt;"&amp;DATE($B$250,1+1,1)))</f>
        <v/>
      </c>
      <c r="C314" t="str">
        <f>IF($A314="","",SUMIFS(Movimenti!$V$5:$V$1004,Movimenti!$C$5:$C$1004,$A314,Movimenti!$A$5:$A$1004,"&gt;="&amp;DATE($B$250,2,1),Movimenti!$A$5:$A$1004,"&lt;"&amp;DATE($B$250,2+1,1)))</f>
        <v/>
      </c>
      <c r="D314" t="str">
        <f>IF($A314="","",SUMIFS(Movimenti!$V$5:$V$1004,Movimenti!$C$5:$C$1004,$A314,Movimenti!$A$5:$A$1004,"&gt;="&amp;DATE($B$250,3,1),Movimenti!$A$5:$A$1004,"&lt;"&amp;DATE($B$250,3+1,1)))</f>
        <v/>
      </c>
      <c r="E314" t="str">
        <f>IF($A314="","",SUMIFS(Movimenti!$V$5:$V$1004,Movimenti!$C$5:$C$1004,$A314,Movimenti!$A$5:$A$1004,"&gt;="&amp;DATE($B$250,4,1),Movimenti!$A$5:$A$1004,"&lt;"&amp;DATE($B$250,4+1,1)))</f>
        <v/>
      </c>
      <c r="F314" t="str">
        <f>IF($A314="","",SUMIFS(Movimenti!$V$5:$V$1004,Movimenti!$C$5:$C$1004,$A314,Movimenti!$A$5:$A$1004,"&gt;="&amp;DATE($B$250,5,1),Movimenti!$A$5:$A$1004,"&lt;"&amp;DATE($B$250,5+1,1)))</f>
        <v/>
      </c>
      <c r="G314" t="str">
        <f>IF($A314="","",SUMIFS(Movimenti!$V$5:$V$1004,Movimenti!$C$5:$C$1004,$A314,Movimenti!$A$5:$A$1004,"&gt;="&amp;DATE($B$250,6,1),Movimenti!$A$5:$A$1004,"&lt;"&amp;DATE($B$250,6+1,1)))</f>
        <v/>
      </c>
      <c r="H314" t="str">
        <f>IF($A314="","",SUMIFS(Movimenti!$V$5:$V$1004,Movimenti!$C$5:$C$1004,$A314,Movimenti!$A$5:$A$1004,"&gt;="&amp;DATE($B$250,7,1),Movimenti!$A$5:$A$1004,"&lt;"&amp;DATE($B$250,7+1,1)))</f>
        <v/>
      </c>
      <c r="I314" t="str">
        <f>IF($A314="","",SUMIFS(Movimenti!$V$5:$V$1004,Movimenti!$C$5:$C$1004,$A314,Movimenti!$A$5:$A$1004,"&gt;="&amp;DATE($B$250,8,1),Movimenti!$A$5:$A$1004,"&lt;"&amp;DATE($B$250,8+1,1)))</f>
        <v/>
      </c>
      <c r="J314" t="str">
        <f>IF($A314="","",SUMIFS(Movimenti!$V$5:$V$1004,Movimenti!$C$5:$C$1004,$A314,Movimenti!$A$5:$A$1004,"&gt;="&amp;DATE($B$250,9,1),Movimenti!$A$5:$A$1004,"&lt;"&amp;DATE($B$250,9+1,1)))</f>
        <v/>
      </c>
      <c r="K314" t="str">
        <f>IF($A314="","",SUMIFS(Movimenti!$V$5:$V$1004,Movimenti!$C$5:$C$1004,$A314,Movimenti!$A$5:$A$1004,"&gt;="&amp;DATE($B$250,10,1),Movimenti!$A$5:$A$1004,"&lt;"&amp;DATE($B$250,10+1,1)))</f>
        <v/>
      </c>
      <c r="L314" t="str">
        <f>IF($A314="","",SUMIFS(Movimenti!$V$5:$V$1004,Movimenti!$C$5:$C$1004,$A314,Movimenti!$A$5:$A$1004,"&gt;="&amp;DATE($B$250,11,1),Movimenti!$A$5:$A$1004,"&lt;"&amp;DATE($B$250,11+1,1)))</f>
        <v/>
      </c>
      <c r="M314" t="str">
        <f>IF($A314="","",SUMIFS(Movimenti!$V$5:$V$1004,Movimenti!$C$5:$C$1004,$A314,Movimenti!$A$5:$A$1004,"&gt;="&amp;DATE($B$250,12,1),Movimenti!$A$5:$A$1004,"&lt;"&amp;DATE($B$250,12+1,1)))</f>
        <v/>
      </c>
      <c r="N314" t="str">
        <f>IF($A314="","",SUM(B314:M314))</f>
        <v/>
      </c>
      <c r="O314" t="str">
        <f>IF($A314="","",SUMIFS(Movimenti!$V$5:$V$1004,Movimenti!$C$5:$C$1004,$A314))</f>
        <v/>
      </c>
      <c r="AD314">
        <f>IF(AND(ISNUMBER(Movimenti!$A296),Movimenti!$L296&lt;&gt;""),Movimenti!$A296,$B$32)</f>
        <v>45596.0</v>
      </c>
      <c r="AE314">
        <f>IF(Movimenti!$L296="",0,N(Movimenti!$L296))</f>
        <v>0</v>
      </c>
    </row>
    <row r="315">
      <c r="A315" t="str">
        <f>IFERROR(INDEX($A$1:$A$21,SMALL($AG$7:$AG$21,6)),"")</f>
        <v/>
      </c>
      <c r="B315" t="str">
        <f>IF($A315="","",SUMIFS(Movimenti!$V$5:$V$1004,Movimenti!$C$5:$C$1004,$A315,Movimenti!$A$5:$A$1004,"&gt;="&amp;DATE($B$250,1,1),Movimenti!$A$5:$A$1004,"&lt;"&amp;DATE($B$250,1+1,1)))</f>
        <v/>
      </c>
      <c r="C315" t="str">
        <f>IF($A315="","",SUMIFS(Movimenti!$V$5:$V$1004,Movimenti!$C$5:$C$1004,$A315,Movimenti!$A$5:$A$1004,"&gt;="&amp;DATE($B$250,2,1),Movimenti!$A$5:$A$1004,"&lt;"&amp;DATE($B$250,2+1,1)))</f>
        <v/>
      </c>
      <c r="D315" t="str">
        <f>IF($A315="","",SUMIFS(Movimenti!$V$5:$V$1004,Movimenti!$C$5:$C$1004,$A315,Movimenti!$A$5:$A$1004,"&gt;="&amp;DATE($B$250,3,1),Movimenti!$A$5:$A$1004,"&lt;"&amp;DATE($B$250,3+1,1)))</f>
        <v/>
      </c>
      <c r="E315" t="str">
        <f>IF($A315="","",SUMIFS(Movimenti!$V$5:$V$1004,Movimenti!$C$5:$C$1004,$A315,Movimenti!$A$5:$A$1004,"&gt;="&amp;DATE($B$250,4,1),Movimenti!$A$5:$A$1004,"&lt;"&amp;DATE($B$250,4+1,1)))</f>
        <v/>
      </c>
      <c r="F315" t="str">
        <f>IF($A315="","",SUMIFS(Movimenti!$V$5:$V$1004,Movimenti!$C$5:$C$1004,$A315,Movimenti!$A$5:$A$1004,"&gt;="&amp;DATE($B$250,5,1),Movimenti!$A$5:$A$1004,"&lt;"&amp;DATE($B$250,5+1,1)))</f>
        <v/>
      </c>
      <c r="G315" t="str">
        <f>IF($A315="","",SUMIFS(Movimenti!$V$5:$V$1004,Movimenti!$C$5:$C$1004,$A315,Movimenti!$A$5:$A$1004,"&gt;="&amp;DATE($B$250,6,1),Movimenti!$A$5:$A$1004,"&lt;"&amp;DATE($B$250,6+1,1)))</f>
        <v/>
      </c>
      <c r="H315" t="str">
        <f>IF($A315="","",SUMIFS(Movimenti!$V$5:$V$1004,Movimenti!$C$5:$C$1004,$A315,Movimenti!$A$5:$A$1004,"&gt;="&amp;DATE($B$250,7,1),Movimenti!$A$5:$A$1004,"&lt;"&amp;DATE($B$250,7+1,1)))</f>
        <v/>
      </c>
      <c r="I315" t="str">
        <f>IF($A315="","",SUMIFS(Movimenti!$V$5:$V$1004,Movimenti!$C$5:$C$1004,$A315,Movimenti!$A$5:$A$1004,"&gt;="&amp;DATE($B$250,8,1),Movimenti!$A$5:$A$1004,"&lt;"&amp;DATE($B$250,8+1,1)))</f>
        <v/>
      </c>
      <c r="J315" t="str">
        <f>IF($A315="","",SUMIFS(Movimenti!$V$5:$V$1004,Movimenti!$C$5:$C$1004,$A315,Movimenti!$A$5:$A$1004,"&gt;="&amp;DATE($B$250,9,1),Movimenti!$A$5:$A$1004,"&lt;"&amp;DATE($B$250,9+1,1)))</f>
        <v/>
      </c>
      <c r="K315" t="str">
        <f>IF($A315="","",SUMIFS(Movimenti!$V$5:$V$1004,Movimenti!$C$5:$C$1004,$A315,Movimenti!$A$5:$A$1004,"&gt;="&amp;DATE($B$250,10,1),Movimenti!$A$5:$A$1004,"&lt;"&amp;DATE($B$250,10+1,1)))</f>
        <v/>
      </c>
      <c r="L315" t="str">
        <f>IF($A315="","",SUMIFS(Movimenti!$V$5:$V$1004,Movimenti!$C$5:$C$1004,$A315,Movimenti!$A$5:$A$1004,"&gt;="&amp;DATE($B$250,11,1),Movimenti!$A$5:$A$1004,"&lt;"&amp;DATE($B$250,11+1,1)))</f>
        <v/>
      </c>
      <c r="M315" t="str">
        <f>IF($A315="","",SUMIFS(Movimenti!$V$5:$V$1004,Movimenti!$C$5:$C$1004,$A315,Movimenti!$A$5:$A$1004,"&gt;="&amp;DATE($B$250,12,1),Movimenti!$A$5:$A$1004,"&lt;"&amp;DATE($B$250,12+1,1)))</f>
        <v/>
      </c>
      <c r="N315" t="str">
        <f>IF($A315="","",SUM(B315:M315))</f>
        <v/>
      </c>
      <c r="O315" t="str">
        <f>IF($A315="","",SUMIFS(Movimenti!$V$5:$V$1004,Movimenti!$C$5:$C$1004,$A315))</f>
        <v/>
      </c>
      <c r="AD315">
        <f>IF(AND(ISNUMBER(Movimenti!$A297),Movimenti!$L297&lt;&gt;""),Movimenti!$A297,$B$32)</f>
        <v>45596.0</v>
      </c>
      <c r="AE315">
        <f>IF(Movimenti!$L297="",0,N(Movimenti!$L297))</f>
        <v>0</v>
      </c>
    </row>
    <row r="316">
      <c r="A316" t="str">
        <f>IFERROR(INDEX($A$1:$A$21,SMALL($AG$7:$AG$21,7)),"")</f>
        <v/>
      </c>
      <c r="B316" t="str">
        <f>IF($A316="","",SUMIFS(Movimenti!$V$5:$V$1004,Movimenti!$C$5:$C$1004,$A316,Movimenti!$A$5:$A$1004,"&gt;="&amp;DATE($B$250,1,1),Movimenti!$A$5:$A$1004,"&lt;"&amp;DATE($B$250,1+1,1)))</f>
        <v/>
      </c>
      <c r="C316" t="str">
        <f>IF($A316="","",SUMIFS(Movimenti!$V$5:$V$1004,Movimenti!$C$5:$C$1004,$A316,Movimenti!$A$5:$A$1004,"&gt;="&amp;DATE($B$250,2,1),Movimenti!$A$5:$A$1004,"&lt;"&amp;DATE($B$250,2+1,1)))</f>
        <v/>
      </c>
      <c r="D316" t="str">
        <f>IF($A316="","",SUMIFS(Movimenti!$V$5:$V$1004,Movimenti!$C$5:$C$1004,$A316,Movimenti!$A$5:$A$1004,"&gt;="&amp;DATE($B$250,3,1),Movimenti!$A$5:$A$1004,"&lt;"&amp;DATE($B$250,3+1,1)))</f>
        <v/>
      </c>
      <c r="E316" t="str">
        <f>IF($A316="","",SUMIFS(Movimenti!$V$5:$V$1004,Movimenti!$C$5:$C$1004,$A316,Movimenti!$A$5:$A$1004,"&gt;="&amp;DATE($B$250,4,1),Movimenti!$A$5:$A$1004,"&lt;"&amp;DATE($B$250,4+1,1)))</f>
        <v/>
      </c>
      <c r="F316" t="str">
        <f>IF($A316="","",SUMIFS(Movimenti!$V$5:$V$1004,Movimenti!$C$5:$C$1004,$A316,Movimenti!$A$5:$A$1004,"&gt;="&amp;DATE($B$250,5,1),Movimenti!$A$5:$A$1004,"&lt;"&amp;DATE($B$250,5+1,1)))</f>
        <v/>
      </c>
      <c r="G316" t="str">
        <f>IF($A316="","",SUMIFS(Movimenti!$V$5:$V$1004,Movimenti!$C$5:$C$1004,$A316,Movimenti!$A$5:$A$1004,"&gt;="&amp;DATE($B$250,6,1),Movimenti!$A$5:$A$1004,"&lt;"&amp;DATE($B$250,6+1,1)))</f>
        <v/>
      </c>
      <c r="H316" t="str">
        <f>IF($A316="","",SUMIFS(Movimenti!$V$5:$V$1004,Movimenti!$C$5:$C$1004,$A316,Movimenti!$A$5:$A$1004,"&gt;="&amp;DATE($B$250,7,1),Movimenti!$A$5:$A$1004,"&lt;"&amp;DATE($B$250,7+1,1)))</f>
        <v/>
      </c>
      <c r="I316" t="str">
        <f>IF($A316="","",SUMIFS(Movimenti!$V$5:$V$1004,Movimenti!$C$5:$C$1004,$A316,Movimenti!$A$5:$A$1004,"&gt;="&amp;DATE($B$250,8,1),Movimenti!$A$5:$A$1004,"&lt;"&amp;DATE($B$250,8+1,1)))</f>
        <v/>
      </c>
      <c r="J316" t="str">
        <f>IF($A316="","",SUMIFS(Movimenti!$V$5:$V$1004,Movimenti!$C$5:$C$1004,$A316,Movimenti!$A$5:$A$1004,"&gt;="&amp;DATE($B$250,9,1),Movimenti!$A$5:$A$1004,"&lt;"&amp;DATE($B$250,9+1,1)))</f>
        <v/>
      </c>
      <c r="K316" t="str">
        <f>IF($A316="","",SUMIFS(Movimenti!$V$5:$V$1004,Movimenti!$C$5:$C$1004,$A316,Movimenti!$A$5:$A$1004,"&gt;="&amp;DATE($B$250,10,1),Movimenti!$A$5:$A$1004,"&lt;"&amp;DATE($B$250,10+1,1)))</f>
        <v/>
      </c>
      <c r="L316" t="str">
        <f>IF($A316="","",SUMIFS(Movimenti!$V$5:$V$1004,Movimenti!$C$5:$C$1004,$A316,Movimenti!$A$5:$A$1004,"&gt;="&amp;DATE($B$250,11,1),Movimenti!$A$5:$A$1004,"&lt;"&amp;DATE($B$250,11+1,1)))</f>
        <v/>
      </c>
      <c r="M316" t="str">
        <f>IF($A316="","",SUMIFS(Movimenti!$V$5:$V$1004,Movimenti!$C$5:$C$1004,$A316,Movimenti!$A$5:$A$1004,"&gt;="&amp;DATE($B$250,12,1),Movimenti!$A$5:$A$1004,"&lt;"&amp;DATE($B$250,12+1,1)))</f>
        <v/>
      </c>
      <c r="N316" t="str">
        <f>IF($A316="","",SUM(B316:M316))</f>
        <v/>
      </c>
      <c r="O316" t="str">
        <f>IF($A316="","",SUMIFS(Movimenti!$V$5:$V$1004,Movimenti!$C$5:$C$1004,$A316))</f>
        <v/>
      </c>
      <c r="AD316">
        <f>IF(AND(ISNUMBER(Movimenti!$A298),Movimenti!$L298&lt;&gt;""),Movimenti!$A298,$B$32)</f>
        <v>45596.0</v>
      </c>
      <c r="AE316">
        <f>IF(Movimenti!$L298="",0,N(Movimenti!$L298))</f>
        <v>0</v>
      </c>
    </row>
    <row r="317">
      <c r="A317" t="str">
        <f>IFERROR(INDEX($A$1:$A$21,SMALL($AG$7:$AG$21,8)),"")</f>
        <v/>
      </c>
      <c r="B317" t="str">
        <f>IF($A317="","",SUMIFS(Movimenti!$V$5:$V$1004,Movimenti!$C$5:$C$1004,$A317,Movimenti!$A$5:$A$1004,"&gt;="&amp;DATE($B$250,1,1),Movimenti!$A$5:$A$1004,"&lt;"&amp;DATE($B$250,1+1,1)))</f>
        <v/>
      </c>
      <c r="C317" t="str">
        <f>IF($A317="","",SUMIFS(Movimenti!$V$5:$V$1004,Movimenti!$C$5:$C$1004,$A317,Movimenti!$A$5:$A$1004,"&gt;="&amp;DATE($B$250,2,1),Movimenti!$A$5:$A$1004,"&lt;"&amp;DATE($B$250,2+1,1)))</f>
        <v/>
      </c>
      <c r="D317" t="str">
        <f>IF($A317="","",SUMIFS(Movimenti!$V$5:$V$1004,Movimenti!$C$5:$C$1004,$A317,Movimenti!$A$5:$A$1004,"&gt;="&amp;DATE($B$250,3,1),Movimenti!$A$5:$A$1004,"&lt;"&amp;DATE($B$250,3+1,1)))</f>
        <v/>
      </c>
      <c r="E317" t="str">
        <f>IF($A317="","",SUMIFS(Movimenti!$V$5:$V$1004,Movimenti!$C$5:$C$1004,$A317,Movimenti!$A$5:$A$1004,"&gt;="&amp;DATE($B$250,4,1),Movimenti!$A$5:$A$1004,"&lt;"&amp;DATE($B$250,4+1,1)))</f>
        <v/>
      </c>
      <c r="F317" t="str">
        <f>IF($A317="","",SUMIFS(Movimenti!$V$5:$V$1004,Movimenti!$C$5:$C$1004,$A317,Movimenti!$A$5:$A$1004,"&gt;="&amp;DATE($B$250,5,1),Movimenti!$A$5:$A$1004,"&lt;"&amp;DATE($B$250,5+1,1)))</f>
        <v/>
      </c>
      <c r="G317" t="str">
        <f>IF($A317="","",SUMIFS(Movimenti!$V$5:$V$1004,Movimenti!$C$5:$C$1004,$A317,Movimenti!$A$5:$A$1004,"&gt;="&amp;DATE($B$250,6,1),Movimenti!$A$5:$A$1004,"&lt;"&amp;DATE($B$250,6+1,1)))</f>
        <v/>
      </c>
      <c r="H317" t="str">
        <f>IF($A317="","",SUMIFS(Movimenti!$V$5:$V$1004,Movimenti!$C$5:$C$1004,$A317,Movimenti!$A$5:$A$1004,"&gt;="&amp;DATE($B$250,7,1),Movimenti!$A$5:$A$1004,"&lt;"&amp;DATE($B$250,7+1,1)))</f>
        <v/>
      </c>
      <c r="I317" t="str">
        <f>IF($A317="","",SUMIFS(Movimenti!$V$5:$V$1004,Movimenti!$C$5:$C$1004,$A317,Movimenti!$A$5:$A$1004,"&gt;="&amp;DATE($B$250,8,1),Movimenti!$A$5:$A$1004,"&lt;"&amp;DATE($B$250,8+1,1)))</f>
        <v/>
      </c>
      <c r="J317" t="str">
        <f>IF($A317="","",SUMIFS(Movimenti!$V$5:$V$1004,Movimenti!$C$5:$C$1004,$A317,Movimenti!$A$5:$A$1004,"&gt;="&amp;DATE($B$250,9,1),Movimenti!$A$5:$A$1004,"&lt;"&amp;DATE($B$250,9+1,1)))</f>
        <v/>
      </c>
      <c r="K317" t="str">
        <f>IF($A317="","",SUMIFS(Movimenti!$V$5:$V$1004,Movimenti!$C$5:$C$1004,$A317,Movimenti!$A$5:$A$1004,"&gt;="&amp;DATE($B$250,10,1),Movimenti!$A$5:$A$1004,"&lt;"&amp;DATE($B$250,10+1,1)))</f>
        <v/>
      </c>
      <c r="L317" t="str">
        <f>IF($A317="","",SUMIFS(Movimenti!$V$5:$V$1004,Movimenti!$C$5:$C$1004,$A317,Movimenti!$A$5:$A$1004,"&gt;="&amp;DATE($B$250,11,1),Movimenti!$A$5:$A$1004,"&lt;"&amp;DATE($B$250,11+1,1)))</f>
        <v/>
      </c>
      <c r="M317" t="str">
        <f>IF($A317="","",SUMIFS(Movimenti!$V$5:$V$1004,Movimenti!$C$5:$C$1004,$A317,Movimenti!$A$5:$A$1004,"&gt;="&amp;DATE($B$250,12,1),Movimenti!$A$5:$A$1004,"&lt;"&amp;DATE($B$250,12+1,1)))</f>
        <v/>
      </c>
      <c r="N317" t="str">
        <f>IF($A317="","",SUM(B317:M317))</f>
        <v/>
      </c>
      <c r="O317" t="str">
        <f>IF($A317="","",SUMIFS(Movimenti!$V$5:$V$1004,Movimenti!$C$5:$C$1004,$A317))</f>
        <v/>
      </c>
      <c r="AD317">
        <f>IF(AND(ISNUMBER(Movimenti!$A299),Movimenti!$L299&lt;&gt;""),Movimenti!$A299,$B$32)</f>
        <v>45596.0</v>
      </c>
      <c r="AE317">
        <f>IF(Movimenti!$L299="",0,N(Movimenti!$L299))</f>
        <v>0</v>
      </c>
    </row>
    <row r="318">
      <c r="A318" t="str">
        <f>IFERROR(INDEX($A$1:$A$21,SMALL($AG$7:$AG$21,9)),"")</f>
        <v/>
      </c>
      <c r="B318" t="str">
        <f>IF($A318="","",SUMIFS(Movimenti!$V$5:$V$1004,Movimenti!$C$5:$C$1004,$A318,Movimenti!$A$5:$A$1004,"&gt;="&amp;DATE($B$250,1,1),Movimenti!$A$5:$A$1004,"&lt;"&amp;DATE($B$250,1+1,1)))</f>
        <v/>
      </c>
      <c r="C318" t="str">
        <f>IF($A318="","",SUMIFS(Movimenti!$V$5:$V$1004,Movimenti!$C$5:$C$1004,$A318,Movimenti!$A$5:$A$1004,"&gt;="&amp;DATE($B$250,2,1),Movimenti!$A$5:$A$1004,"&lt;"&amp;DATE($B$250,2+1,1)))</f>
        <v/>
      </c>
      <c r="D318" t="str">
        <f>IF($A318="","",SUMIFS(Movimenti!$V$5:$V$1004,Movimenti!$C$5:$C$1004,$A318,Movimenti!$A$5:$A$1004,"&gt;="&amp;DATE($B$250,3,1),Movimenti!$A$5:$A$1004,"&lt;"&amp;DATE($B$250,3+1,1)))</f>
        <v/>
      </c>
      <c r="E318" t="str">
        <f>IF($A318="","",SUMIFS(Movimenti!$V$5:$V$1004,Movimenti!$C$5:$C$1004,$A318,Movimenti!$A$5:$A$1004,"&gt;="&amp;DATE($B$250,4,1),Movimenti!$A$5:$A$1004,"&lt;"&amp;DATE($B$250,4+1,1)))</f>
        <v/>
      </c>
      <c r="F318" t="str">
        <f>IF($A318="","",SUMIFS(Movimenti!$V$5:$V$1004,Movimenti!$C$5:$C$1004,$A318,Movimenti!$A$5:$A$1004,"&gt;="&amp;DATE($B$250,5,1),Movimenti!$A$5:$A$1004,"&lt;"&amp;DATE($B$250,5+1,1)))</f>
        <v/>
      </c>
      <c r="G318" t="str">
        <f>IF($A318="","",SUMIFS(Movimenti!$V$5:$V$1004,Movimenti!$C$5:$C$1004,$A318,Movimenti!$A$5:$A$1004,"&gt;="&amp;DATE($B$250,6,1),Movimenti!$A$5:$A$1004,"&lt;"&amp;DATE($B$250,6+1,1)))</f>
        <v/>
      </c>
      <c r="H318" t="str">
        <f>IF($A318="","",SUMIFS(Movimenti!$V$5:$V$1004,Movimenti!$C$5:$C$1004,$A318,Movimenti!$A$5:$A$1004,"&gt;="&amp;DATE($B$250,7,1),Movimenti!$A$5:$A$1004,"&lt;"&amp;DATE($B$250,7+1,1)))</f>
        <v/>
      </c>
      <c r="I318" t="str">
        <f>IF($A318="","",SUMIFS(Movimenti!$V$5:$V$1004,Movimenti!$C$5:$C$1004,$A318,Movimenti!$A$5:$A$1004,"&gt;="&amp;DATE($B$250,8,1),Movimenti!$A$5:$A$1004,"&lt;"&amp;DATE($B$250,8+1,1)))</f>
        <v/>
      </c>
      <c r="J318" t="str">
        <f>IF($A318="","",SUMIFS(Movimenti!$V$5:$V$1004,Movimenti!$C$5:$C$1004,$A318,Movimenti!$A$5:$A$1004,"&gt;="&amp;DATE($B$250,9,1),Movimenti!$A$5:$A$1004,"&lt;"&amp;DATE($B$250,9+1,1)))</f>
        <v/>
      </c>
      <c r="K318" t="str">
        <f>IF($A318="","",SUMIFS(Movimenti!$V$5:$V$1004,Movimenti!$C$5:$C$1004,$A318,Movimenti!$A$5:$A$1004,"&gt;="&amp;DATE($B$250,10,1),Movimenti!$A$5:$A$1004,"&lt;"&amp;DATE($B$250,10+1,1)))</f>
        <v/>
      </c>
      <c r="L318" t="str">
        <f>IF($A318="","",SUMIFS(Movimenti!$V$5:$V$1004,Movimenti!$C$5:$C$1004,$A318,Movimenti!$A$5:$A$1004,"&gt;="&amp;DATE($B$250,11,1),Movimenti!$A$5:$A$1004,"&lt;"&amp;DATE($B$250,11+1,1)))</f>
        <v/>
      </c>
      <c r="M318" t="str">
        <f>IF($A318="","",SUMIFS(Movimenti!$V$5:$V$1004,Movimenti!$C$5:$C$1004,$A318,Movimenti!$A$5:$A$1004,"&gt;="&amp;DATE($B$250,12,1),Movimenti!$A$5:$A$1004,"&lt;"&amp;DATE($B$250,12+1,1)))</f>
        <v/>
      </c>
      <c r="N318" t="str">
        <f>IF($A318="","",SUM(B318:M318))</f>
        <v/>
      </c>
      <c r="O318" t="str">
        <f>IF($A318="","",SUMIFS(Movimenti!$V$5:$V$1004,Movimenti!$C$5:$C$1004,$A318))</f>
        <v/>
      </c>
      <c r="AD318">
        <f>IF(AND(ISNUMBER(Movimenti!$A300),Movimenti!$L300&lt;&gt;""),Movimenti!$A300,$B$32)</f>
        <v>45596.0</v>
      </c>
      <c r="AE318">
        <f>IF(Movimenti!$L300="",0,N(Movimenti!$L300))</f>
        <v>0</v>
      </c>
    </row>
    <row r="319">
      <c r="A319" t="str">
        <f>IFERROR(INDEX($A$1:$A$21,SMALL($AG$7:$AG$21,10)),"")</f>
        <v/>
      </c>
      <c r="B319" t="str">
        <f>IF($A319="","",SUMIFS(Movimenti!$V$5:$V$1004,Movimenti!$C$5:$C$1004,$A319,Movimenti!$A$5:$A$1004,"&gt;="&amp;DATE($B$250,1,1),Movimenti!$A$5:$A$1004,"&lt;"&amp;DATE($B$250,1+1,1)))</f>
        <v/>
      </c>
      <c r="C319" t="str">
        <f>IF($A319="","",SUMIFS(Movimenti!$V$5:$V$1004,Movimenti!$C$5:$C$1004,$A319,Movimenti!$A$5:$A$1004,"&gt;="&amp;DATE($B$250,2,1),Movimenti!$A$5:$A$1004,"&lt;"&amp;DATE($B$250,2+1,1)))</f>
        <v/>
      </c>
      <c r="D319" t="str">
        <f>IF($A319="","",SUMIFS(Movimenti!$V$5:$V$1004,Movimenti!$C$5:$C$1004,$A319,Movimenti!$A$5:$A$1004,"&gt;="&amp;DATE($B$250,3,1),Movimenti!$A$5:$A$1004,"&lt;"&amp;DATE($B$250,3+1,1)))</f>
        <v/>
      </c>
      <c r="E319" t="str">
        <f>IF($A319="","",SUMIFS(Movimenti!$V$5:$V$1004,Movimenti!$C$5:$C$1004,$A319,Movimenti!$A$5:$A$1004,"&gt;="&amp;DATE($B$250,4,1),Movimenti!$A$5:$A$1004,"&lt;"&amp;DATE($B$250,4+1,1)))</f>
        <v/>
      </c>
      <c r="F319" t="str">
        <f>IF($A319="","",SUMIFS(Movimenti!$V$5:$V$1004,Movimenti!$C$5:$C$1004,$A319,Movimenti!$A$5:$A$1004,"&gt;="&amp;DATE($B$250,5,1),Movimenti!$A$5:$A$1004,"&lt;"&amp;DATE($B$250,5+1,1)))</f>
        <v/>
      </c>
      <c r="G319" t="str">
        <f>IF($A319="","",SUMIFS(Movimenti!$V$5:$V$1004,Movimenti!$C$5:$C$1004,$A319,Movimenti!$A$5:$A$1004,"&gt;="&amp;DATE($B$250,6,1),Movimenti!$A$5:$A$1004,"&lt;"&amp;DATE($B$250,6+1,1)))</f>
        <v/>
      </c>
      <c r="H319" t="str">
        <f>IF($A319="","",SUMIFS(Movimenti!$V$5:$V$1004,Movimenti!$C$5:$C$1004,$A319,Movimenti!$A$5:$A$1004,"&gt;="&amp;DATE($B$250,7,1),Movimenti!$A$5:$A$1004,"&lt;"&amp;DATE($B$250,7+1,1)))</f>
        <v/>
      </c>
      <c r="I319" t="str">
        <f>IF($A319="","",SUMIFS(Movimenti!$V$5:$V$1004,Movimenti!$C$5:$C$1004,$A319,Movimenti!$A$5:$A$1004,"&gt;="&amp;DATE($B$250,8,1),Movimenti!$A$5:$A$1004,"&lt;"&amp;DATE($B$250,8+1,1)))</f>
        <v/>
      </c>
      <c r="J319" t="str">
        <f>IF($A319="","",SUMIFS(Movimenti!$V$5:$V$1004,Movimenti!$C$5:$C$1004,$A319,Movimenti!$A$5:$A$1004,"&gt;="&amp;DATE($B$250,9,1),Movimenti!$A$5:$A$1004,"&lt;"&amp;DATE($B$250,9+1,1)))</f>
        <v/>
      </c>
      <c r="K319" t="str">
        <f>IF($A319="","",SUMIFS(Movimenti!$V$5:$V$1004,Movimenti!$C$5:$C$1004,$A319,Movimenti!$A$5:$A$1004,"&gt;="&amp;DATE($B$250,10,1),Movimenti!$A$5:$A$1004,"&lt;"&amp;DATE($B$250,10+1,1)))</f>
        <v/>
      </c>
      <c r="L319" t="str">
        <f>IF($A319="","",SUMIFS(Movimenti!$V$5:$V$1004,Movimenti!$C$5:$C$1004,$A319,Movimenti!$A$5:$A$1004,"&gt;="&amp;DATE($B$250,11,1),Movimenti!$A$5:$A$1004,"&lt;"&amp;DATE($B$250,11+1,1)))</f>
        <v/>
      </c>
      <c r="M319" t="str">
        <f>IF($A319="","",SUMIFS(Movimenti!$V$5:$V$1004,Movimenti!$C$5:$C$1004,$A319,Movimenti!$A$5:$A$1004,"&gt;="&amp;DATE($B$250,12,1),Movimenti!$A$5:$A$1004,"&lt;"&amp;DATE($B$250,12+1,1)))</f>
        <v/>
      </c>
      <c r="N319" t="str">
        <f>IF($A319="","",SUM(B319:M319))</f>
        <v/>
      </c>
      <c r="O319" t="str">
        <f>IF($A319="","",SUMIFS(Movimenti!$V$5:$V$1004,Movimenti!$C$5:$C$1004,$A319))</f>
        <v/>
      </c>
      <c r="AD319">
        <f>IF(AND(ISNUMBER(Movimenti!$A301),Movimenti!$L301&lt;&gt;""),Movimenti!$A301,$B$32)</f>
        <v>45596.0</v>
      </c>
      <c r="AE319">
        <f>IF(Movimenti!$L301="",0,N(Movimenti!$L301))</f>
        <v>0</v>
      </c>
    </row>
    <row r="320">
      <c r="A320" t="str">
        <f>IFERROR(INDEX($A$1:$A$21,SMALL($AG$7:$AG$21,11)),"")</f>
        <v/>
      </c>
      <c r="B320" t="str">
        <f>IF($A320="","",SUMIFS(Movimenti!$V$5:$V$1004,Movimenti!$C$5:$C$1004,$A320,Movimenti!$A$5:$A$1004,"&gt;="&amp;DATE($B$250,1,1),Movimenti!$A$5:$A$1004,"&lt;"&amp;DATE($B$250,1+1,1)))</f>
        <v/>
      </c>
      <c r="C320" t="str">
        <f>IF($A320="","",SUMIFS(Movimenti!$V$5:$V$1004,Movimenti!$C$5:$C$1004,$A320,Movimenti!$A$5:$A$1004,"&gt;="&amp;DATE($B$250,2,1),Movimenti!$A$5:$A$1004,"&lt;"&amp;DATE($B$250,2+1,1)))</f>
        <v/>
      </c>
      <c r="D320" t="str">
        <f>IF($A320="","",SUMIFS(Movimenti!$V$5:$V$1004,Movimenti!$C$5:$C$1004,$A320,Movimenti!$A$5:$A$1004,"&gt;="&amp;DATE($B$250,3,1),Movimenti!$A$5:$A$1004,"&lt;"&amp;DATE($B$250,3+1,1)))</f>
        <v/>
      </c>
      <c r="E320" t="str">
        <f>IF($A320="","",SUMIFS(Movimenti!$V$5:$V$1004,Movimenti!$C$5:$C$1004,$A320,Movimenti!$A$5:$A$1004,"&gt;="&amp;DATE($B$250,4,1),Movimenti!$A$5:$A$1004,"&lt;"&amp;DATE($B$250,4+1,1)))</f>
        <v/>
      </c>
      <c r="F320" t="str">
        <f>IF($A320="","",SUMIFS(Movimenti!$V$5:$V$1004,Movimenti!$C$5:$C$1004,$A320,Movimenti!$A$5:$A$1004,"&gt;="&amp;DATE($B$250,5,1),Movimenti!$A$5:$A$1004,"&lt;"&amp;DATE($B$250,5+1,1)))</f>
        <v/>
      </c>
      <c r="G320" t="str">
        <f>IF($A320="","",SUMIFS(Movimenti!$V$5:$V$1004,Movimenti!$C$5:$C$1004,$A320,Movimenti!$A$5:$A$1004,"&gt;="&amp;DATE($B$250,6,1),Movimenti!$A$5:$A$1004,"&lt;"&amp;DATE($B$250,6+1,1)))</f>
        <v/>
      </c>
      <c r="H320" t="str">
        <f>IF($A320="","",SUMIFS(Movimenti!$V$5:$V$1004,Movimenti!$C$5:$C$1004,$A320,Movimenti!$A$5:$A$1004,"&gt;="&amp;DATE($B$250,7,1),Movimenti!$A$5:$A$1004,"&lt;"&amp;DATE($B$250,7+1,1)))</f>
        <v/>
      </c>
      <c r="I320" t="str">
        <f>IF($A320="","",SUMIFS(Movimenti!$V$5:$V$1004,Movimenti!$C$5:$C$1004,$A320,Movimenti!$A$5:$A$1004,"&gt;="&amp;DATE($B$250,8,1),Movimenti!$A$5:$A$1004,"&lt;"&amp;DATE($B$250,8+1,1)))</f>
        <v/>
      </c>
      <c r="J320" t="str">
        <f>IF($A320="","",SUMIFS(Movimenti!$V$5:$V$1004,Movimenti!$C$5:$C$1004,$A320,Movimenti!$A$5:$A$1004,"&gt;="&amp;DATE($B$250,9,1),Movimenti!$A$5:$A$1004,"&lt;"&amp;DATE($B$250,9+1,1)))</f>
        <v/>
      </c>
      <c r="K320" t="str">
        <f>IF($A320="","",SUMIFS(Movimenti!$V$5:$V$1004,Movimenti!$C$5:$C$1004,$A320,Movimenti!$A$5:$A$1004,"&gt;="&amp;DATE($B$250,10,1),Movimenti!$A$5:$A$1004,"&lt;"&amp;DATE($B$250,10+1,1)))</f>
        <v/>
      </c>
      <c r="L320" t="str">
        <f>IF($A320="","",SUMIFS(Movimenti!$V$5:$V$1004,Movimenti!$C$5:$C$1004,$A320,Movimenti!$A$5:$A$1004,"&gt;="&amp;DATE($B$250,11,1),Movimenti!$A$5:$A$1004,"&lt;"&amp;DATE($B$250,11+1,1)))</f>
        <v/>
      </c>
      <c r="M320" t="str">
        <f>IF($A320="","",SUMIFS(Movimenti!$V$5:$V$1004,Movimenti!$C$5:$C$1004,$A320,Movimenti!$A$5:$A$1004,"&gt;="&amp;DATE($B$250,12,1),Movimenti!$A$5:$A$1004,"&lt;"&amp;DATE($B$250,12+1,1)))</f>
        <v/>
      </c>
      <c r="N320" t="str">
        <f>IF($A320="","",SUM(B320:M320))</f>
        <v/>
      </c>
      <c r="O320" t="str">
        <f>IF($A320="","",SUMIFS(Movimenti!$V$5:$V$1004,Movimenti!$C$5:$C$1004,$A320))</f>
        <v/>
      </c>
      <c r="AD320">
        <f>IF(AND(ISNUMBER(Movimenti!$A302),Movimenti!$L302&lt;&gt;""),Movimenti!$A302,$B$32)</f>
        <v>45596.0</v>
      </c>
      <c r="AE320">
        <f>IF(Movimenti!$L302="",0,N(Movimenti!$L302))</f>
        <v>0</v>
      </c>
    </row>
    <row r="321">
      <c r="A321" t="str">
        <f>IFERROR(INDEX($A$1:$A$21,SMALL($AG$7:$AG$21,12)),"")</f>
        <v/>
      </c>
      <c r="B321" t="str">
        <f>IF($A321="","",SUMIFS(Movimenti!$V$5:$V$1004,Movimenti!$C$5:$C$1004,$A321,Movimenti!$A$5:$A$1004,"&gt;="&amp;DATE($B$250,1,1),Movimenti!$A$5:$A$1004,"&lt;"&amp;DATE($B$250,1+1,1)))</f>
        <v/>
      </c>
      <c r="C321" t="str">
        <f>IF($A321="","",SUMIFS(Movimenti!$V$5:$V$1004,Movimenti!$C$5:$C$1004,$A321,Movimenti!$A$5:$A$1004,"&gt;="&amp;DATE($B$250,2,1),Movimenti!$A$5:$A$1004,"&lt;"&amp;DATE($B$250,2+1,1)))</f>
        <v/>
      </c>
      <c r="D321" t="str">
        <f>IF($A321="","",SUMIFS(Movimenti!$V$5:$V$1004,Movimenti!$C$5:$C$1004,$A321,Movimenti!$A$5:$A$1004,"&gt;="&amp;DATE($B$250,3,1),Movimenti!$A$5:$A$1004,"&lt;"&amp;DATE($B$250,3+1,1)))</f>
        <v/>
      </c>
      <c r="E321" t="str">
        <f>IF($A321="","",SUMIFS(Movimenti!$V$5:$V$1004,Movimenti!$C$5:$C$1004,$A321,Movimenti!$A$5:$A$1004,"&gt;="&amp;DATE($B$250,4,1),Movimenti!$A$5:$A$1004,"&lt;"&amp;DATE($B$250,4+1,1)))</f>
        <v/>
      </c>
      <c r="F321" t="str">
        <f>IF($A321="","",SUMIFS(Movimenti!$V$5:$V$1004,Movimenti!$C$5:$C$1004,$A321,Movimenti!$A$5:$A$1004,"&gt;="&amp;DATE($B$250,5,1),Movimenti!$A$5:$A$1004,"&lt;"&amp;DATE($B$250,5+1,1)))</f>
        <v/>
      </c>
      <c r="G321" t="str">
        <f>IF($A321="","",SUMIFS(Movimenti!$V$5:$V$1004,Movimenti!$C$5:$C$1004,$A321,Movimenti!$A$5:$A$1004,"&gt;="&amp;DATE($B$250,6,1),Movimenti!$A$5:$A$1004,"&lt;"&amp;DATE($B$250,6+1,1)))</f>
        <v/>
      </c>
      <c r="H321" t="str">
        <f>IF($A321="","",SUMIFS(Movimenti!$V$5:$V$1004,Movimenti!$C$5:$C$1004,$A321,Movimenti!$A$5:$A$1004,"&gt;="&amp;DATE($B$250,7,1),Movimenti!$A$5:$A$1004,"&lt;"&amp;DATE($B$250,7+1,1)))</f>
        <v/>
      </c>
      <c r="I321" t="str">
        <f>IF($A321="","",SUMIFS(Movimenti!$V$5:$V$1004,Movimenti!$C$5:$C$1004,$A321,Movimenti!$A$5:$A$1004,"&gt;="&amp;DATE($B$250,8,1),Movimenti!$A$5:$A$1004,"&lt;"&amp;DATE($B$250,8+1,1)))</f>
        <v/>
      </c>
      <c r="J321" t="str">
        <f>IF($A321="","",SUMIFS(Movimenti!$V$5:$V$1004,Movimenti!$C$5:$C$1004,$A321,Movimenti!$A$5:$A$1004,"&gt;="&amp;DATE($B$250,9,1),Movimenti!$A$5:$A$1004,"&lt;"&amp;DATE($B$250,9+1,1)))</f>
        <v/>
      </c>
      <c r="K321" t="str">
        <f>IF($A321="","",SUMIFS(Movimenti!$V$5:$V$1004,Movimenti!$C$5:$C$1004,$A321,Movimenti!$A$5:$A$1004,"&gt;="&amp;DATE($B$250,10,1),Movimenti!$A$5:$A$1004,"&lt;"&amp;DATE($B$250,10+1,1)))</f>
        <v/>
      </c>
      <c r="L321" t="str">
        <f>IF($A321="","",SUMIFS(Movimenti!$V$5:$V$1004,Movimenti!$C$5:$C$1004,$A321,Movimenti!$A$5:$A$1004,"&gt;="&amp;DATE($B$250,11,1),Movimenti!$A$5:$A$1004,"&lt;"&amp;DATE($B$250,11+1,1)))</f>
        <v/>
      </c>
      <c r="M321" t="str">
        <f>IF($A321="","",SUMIFS(Movimenti!$V$5:$V$1004,Movimenti!$C$5:$C$1004,$A321,Movimenti!$A$5:$A$1004,"&gt;="&amp;DATE($B$250,12,1),Movimenti!$A$5:$A$1004,"&lt;"&amp;DATE($B$250,12+1,1)))</f>
        <v/>
      </c>
      <c r="N321" t="str">
        <f>IF($A321="","",SUM(B321:M321))</f>
        <v/>
      </c>
      <c r="O321" t="str">
        <f>IF($A321="","",SUMIFS(Movimenti!$V$5:$V$1004,Movimenti!$C$5:$C$1004,$A321))</f>
        <v/>
      </c>
      <c r="AD321">
        <f>IF(AND(ISNUMBER(Movimenti!$A303),Movimenti!$L303&lt;&gt;""),Movimenti!$A303,$B$32)</f>
        <v>45596.0</v>
      </c>
      <c r="AE321">
        <f>IF(Movimenti!$L303="",0,N(Movimenti!$L303))</f>
        <v>0</v>
      </c>
    </row>
    <row r="322">
      <c r="A322" t="str">
        <f>IFERROR(INDEX($A$1:$A$21,SMALL($AG$7:$AG$21,13)),"")</f>
        <v/>
      </c>
      <c r="B322" t="str">
        <f>IF($A322="","",SUMIFS(Movimenti!$V$5:$V$1004,Movimenti!$C$5:$C$1004,$A322,Movimenti!$A$5:$A$1004,"&gt;="&amp;DATE($B$250,1,1),Movimenti!$A$5:$A$1004,"&lt;"&amp;DATE($B$250,1+1,1)))</f>
        <v/>
      </c>
      <c r="C322" t="str">
        <f>IF($A322="","",SUMIFS(Movimenti!$V$5:$V$1004,Movimenti!$C$5:$C$1004,$A322,Movimenti!$A$5:$A$1004,"&gt;="&amp;DATE($B$250,2,1),Movimenti!$A$5:$A$1004,"&lt;"&amp;DATE($B$250,2+1,1)))</f>
        <v/>
      </c>
      <c r="D322" t="str">
        <f>IF($A322="","",SUMIFS(Movimenti!$V$5:$V$1004,Movimenti!$C$5:$C$1004,$A322,Movimenti!$A$5:$A$1004,"&gt;="&amp;DATE($B$250,3,1),Movimenti!$A$5:$A$1004,"&lt;"&amp;DATE($B$250,3+1,1)))</f>
        <v/>
      </c>
      <c r="E322" t="str">
        <f>IF($A322="","",SUMIFS(Movimenti!$V$5:$V$1004,Movimenti!$C$5:$C$1004,$A322,Movimenti!$A$5:$A$1004,"&gt;="&amp;DATE($B$250,4,1),Movimenti!$A$5:$A$1004,"&lt;"&amp;DATE($B$250,4+1,1)))</f>
        <v/>
      </c>
      <c r="F322" t="str">
        <f>IF($A322="","",SUMIFS(Movimenti!$V$5:$V$1004,Movimenti!$C$5:$C$1004,$A322,Movimenti!$A$5:$A$1004,"&gt;="&amp;DATE($B$250,5,1),Movimenti!$A$5:$A$1004,"&lt;"&amp;DATE($B$250,5+1,1)))</f>
        <v/>
      </c>
      <c r="G322" t="str">
        <f>IF($A322="","",SUMIFS(Movimenti!$V$5:$V$1004,Movimenti!$C$5:$C$1004,$A322,Movimenti!$A$5:$A$1004,"&gt;="&amp;DATE($B$250,6,1),Movimenti!$A$5:$A$1004,"&lt;"&amp;DATE($B$250,6+1,1)))</f>
        <v/>
      </c>
      <c r="H322" t="str">
        <f>IF($A322="","",SUMIFS(Movimenti!$V$5:$V$1004,Movimenti!$C$5:$C$1004,$A322,Movimenti!$A$5:$A$1004,"&gt;="&amp;DATE($B$250,7,1),Movimenti!$A$5:$A$1004,"&lt;"&amp;DATE($B$250,7+1,1)))</f>
        <v/>
      </c>
      <c r="I322" t="str">
        <f>IF($A322="","",SUMIFS(Movimenti!$V$5:$V$1004,Movimenti!$C$5:$C$1004,$A322,Movimenti!$A$5:$A$1004,"&gt;="&amp;DATE($B$250,8,1),Movimenti!$A$5:$A$1004,"&lt;"&amp;DATE($B$250,8+1,1)))</f>
        <v/>
      </c>
      <c r="J322" t="str">
        <f>IF($A322="","",SUMIFS(Movimenti!$V$5:$V$1004,Movimenti!$C$5:$C$1004,$A322,Movimenti!$A$5:$A$1004,"&gt;="&amp;DATE($B$250,9,1),Movimenti!$A$5:$A$1004,"&lt;"&amp;DATE($B$250,9+1,1)))</f>
        <v/>
      </c>
      <c r="K322" t="str">
        <f>IF($A322="","",SUMIFS(Movimenti!$V$5:$V$1004,Movimenti!$C$5:$C$1004,$A322,Movimenti!$A$5:$A$1004,"&gt;="&amp;DATE($B$250,10,1),Movimenti!$A$5:$A$1004,"&lt;"&amp;DATE($B$250,10+1,1)))</f>
        <v/>
      </c>
      <c r="L322" t="str">
        <f>IF($A322="","",SUMIFS(Movimenti!$V$5:$V$1004,Movimenti!$C$5:$C$1004,$A322,Movimenti!$A$5:$A$1004,"&gt;="&amp;DATE($B$250,11,1),Movimenti!$A$5:$A$1004,"&lt;"&amp;DATE($B$250,11+1,1)))</f>
        <v/>
      </c>
      <c r="M322" t="str">
        <f>IF($A322="","",SUMIFS(Movimenti!$V$5:$V$1004,Movimenti!$C$5:$C$1004,$A322,Movimenti!$A$5:$A$1004,"&gt;="&amp;DATE($B$250,12,1),Movimenti!$A$5:$A$1004,"&lt;"&amp;DATE($B$250,12+1,1)))</f>
        <v/>
      </c>
      <c r="N322" t="str">
        <f>IF($A322="","",SUM(B322:M322))</f>
        <v/>
      </c>
      <c r="O322" t="str">
        <f>IF($A322="","",SUMIFS(Movimenti!$V$5:$V$1004,Movimenti!$C$5:$C$1004,$A322))</f>
        <v/>
      </c>
      <c r="AD322">
        <f>IF(AND(ISNUMBER(Movimenti!$A304),Movimenti!$L304&lt;&gt;""),Movimenti!$A304,$B$32)</f>
        <v>45596.0</v>
      </c>
      <c r="AE322">
        <f>IF(Movimenti!$L304="",0,N(Movimenti!$L304))</f>
        <v>0</v>
      </c>
    </row>
    <row r="323">
      <c r="A323" t="str">
        <f>IFERROR(INDEX($A$1:$A$21,SMALL($AG$7:$AG$21,14)),"")</f>
        <v/>
      </c>
      <c r="B323" t="str">
        <f>IF($A323="","",SUMIFS(Movimenti!$V$5:$V$1004,Movimenti!$C$5:$C$1004,$A323,Movimenti!$A$5:$A$1004,"&gt;="&amp;DATE($B$250,1,1),Movimenti!$A$5:$A$1004,"&lt;"&amp;DATE($B$250,1+1,1)))</f>
        <v/>
      </c>
      <c r="C323" t="str">
        <f>IF($A323="","",SUMIFS(Movimenti!$V$5:$V$1004,Movimenti!$C$5:$C$1004,$A323,Movimenti!$A$5:$A$1004,"&gt;="&amp;DATE($B$250,2,1),Movimenti!$A$5:$A$1004,"&lt;"&amp;DATE($B$250,2+1,1)))</f>
        <v/>
      </c>
      <c r="D323" t="str">
        <f>IF($A323="","",SUMIFS(Movimenti!$V$5:$V$1004,Movimenti!$C$5:$C$1004,$A323,Movimenti!$A$5:$A$1004,"&gt;="&amp;DATE($B$250,3,1),Movimenti!$A$5:$A$1004,"&lt;"&amp;DATE($B$250,3+1,1)))</f>
        <v/>
      </c>
      <c r="E323" t="str">
        <f>IF($A323="","",SUMIFS(Movimenti!$V$5:$V$1004,Movimenti!$C$5:$C$1004,$A323,Movimenti!$A$5:$A$1004,"&gt;="&amp;DATE($B$250,4,1),Movimenti!$A$5:$A$1004,"&lt;"&amp;DATE($B$250,4+1,1)))</f>
        <v/>
      </c>
      <c r="F323" t="str">
        <f>IF($A323="","",SUMIFS(Movimenti!$V$5:$V$1004,Movimenti!$C$5:$C$1004,$A323,Movimenti!$A$5:$A$1004,"&gt;="&amp;DATE($B$250,5,1),Movimenti!$A$5:$A$1004,"&lt;"&amp;DATE($B$250,5+1,1)))</f>
        <v/>
      </c>
      <c r="G323" t="str">
        <f>IF($A323="","",SUMIFS(Movimenti!$V$5:$V$1004,Movimenti!$C$5:$C$1004,$A323,Movimenti!$A$5:$A$1004,"&gt;="&amp;DATE($B$250,6,1),Movimenti!$A$5:$A$1004,"&lt;"&amp;DATE($B$250,6+1,1)))</f>
        <v/>
      </c>
      <c r="H323" t="str">
        <f>IF($A323="","",SUMIFS(Movimenti!$V$5:$V$1004,Movimenti!$C$5:$C$1004,$A323,Movimenti!$A$5:$A$1004,"&gt;="&amp;DATE($B$250,7,1),Movimenti!$A$5:$A$1004,"&lt;"&amp;DATE($B$250,7+1,1)))</f>
        <v/>
      </c>
      <c r="I323" t="str">
        <f>IF($A323="","",SUMIFS(Movimenti!$V$5:$V$1004,Movimenti!$C$5:$C$1004,$A323,Movimenti!$A$5:$A$1004,"&gt;="&amp;DATE($B$250,8,1),Movimenti!$A$5:$A$1004,"&lt;"&amp;DATE($B$250,8+1,1)))</f>
        <v/>
      </c>
      <c r="J323" t="str">
        <f>IF($A323="","",SUMIFS(Movimenti!$V$5:$V$1004,Movimenti!$C$5:$C$1004,$A323,Movimenti!$A$5:$A$1004,"&gt;="&amp;DATE($B$250,9,1),Movimenti!$A$5:$A$1004,"&lt;"&amp;DATE($B$250,9+1,1)))</f>
        <v/>
      </c>
      <c r="K323" t="str">
        <f>IF($A323="","",SUMIFS(Movimenti!$V$5:$V$1004,Movimenti!$C$5:$C$1004,$A323,Movimenti!$A$5:$A$1004,"&gt;="&amp;DATE($B$250,10,1),Movimenti!$A$5:$A$1004,"&lt;"&amp;DATE($B$250,10+1,1)))</f>
        <v/>
      </c>
      <c r="L323" t="str">
        <f>IF($A323="","",SUMIFS(Movimenti!$V$5:$V$1004,Movimenti!$C$5:$C$1004,$A323,Movimenti!$A$5:$A$1004,"&gt;="&amp;DATE($B$250,11,1),Movimenti!$A$5:$A$1004,"&lt;"&amp;DATE($B$250,11+1,1)))</f>
        <v/>
      </c>
      <c r="M323" t="str">
        <f>IF($A323="","",SUMIFS(Movimenti!$V$5:$V$1004,Movimenti!$C$5:$C$1004,$A323,Movimenti!$A$5:$A$1004,"&gt;="&amp;DATE($B$250,12,1),Movimenti!$A$5:$A$1004,"&lt;"&amp;DATE($B$250,12+1,1)))</f>
        <v/>
      </c>
      <c r="N323" t="str">
        <f>IF($A323="","",SUM(B323:M323))</f>
        <v/>
      </c>
      <c r="O323" t="str">
        <f>IF($A323="","",SUMIFS(Movimenti!$V$5:$V$1004,Movimenti!$C$5:$C$1004,$A323))</f>
        <v/>
      </c>
      <c r="AD323">
        <f>IF(AND(ISNUMBER(Movimenti!$A305),Movimenti!$L305&lt;&gt;""),Movimenti!$A305,$B$32)</f>
        <v>45596.0</v>
      </c>
      <c r="AE323">
        <f>IF(Movimenti!$L305="",0,N(Movimenti!$L305))</f>
        <v>0</v>
      </c>
    </row>
    <row r="324">
      <c r="A324" t="str">
        <f>IFERROR(INDEX($A$1:$A$21,SMALL($AG$7:$AG$21,15)),"")</f>
        <v/>
      </c>
      <c r="B324" t="str">
        <f>IF($A324="","",SUMIFS(Movimenti!$V$5:$V$1004,Movimenti!$C$5:$C$1004,$A324,Movimenti!$A$5:$A$1004,"&gt;="&amp;DATE($B$250,1,1),Movimenti!$A$5:$A$1004,"&lt;"&amp;DATE($B$250,1+1,1)))</f>
        <v/>
      </c>
      <c r="C324" t="str">
        <f>IF($A324="","",SUMIFS(Movimenti!$V$5:$V$1004,Movimenti!$C$5:$C$1004,$A324,Movimenti!$A$5:$A$1004,"&gt;="&amp;DATE($B$250,2,1),Movimenti!$A$5:$A$1004,"&lt;"&amp;DATE($B$250,2+1,1)))</f>
        <v/>
      </c>
      <c r="D324" t="str">
        <f>IF($A324="","",SUMIFS(Movimenti!$V$5:$V$1004,Movimenti!$C$5:$C$1004,$A324,Movimenti!$A$5:$A$1004,"&gt;="&amp;DATE($B$250,3,1),Movimenti!$A$5:$A$1004,"&lt;"&amp;DATE($B$250,3+1,1)))</f>
        <v/>
      </c>
      <c r="E324" t="str">
        <f>IF($A324="","",SUMIFS(Movimenti!$V$5:$V$1004,Movimenti!$C$5:$C$1004,$A324,Movimenti!$A$5:$A$1004,"&gt;="&amp;DATE($B$250,4,1),Movimenti!$A$5:$A$1004,"&lt;"&amp;DATE($B$250,4+1,1)))</f>
        <v/>
      </c>
      <c r="F324" t="str">
        <f>IF($A324="","",SUMIFS(Movimenti!$V$5:$V$1004,Movimenti!$C$5:$C$1004,$A324,Movimenti!$A$5:$A$1004,"&gt;="&amp;DATE($B$250,5,1),Movimenti!$A$5:$A$1004,"&lt;"&amp;DATE($B$250,5+1,1)))</f>
        <v/>
      </c>
      <c r="G324" t="str">
        <f>IF($A324="","",SUMIFS(Movimenti!$V$5:$V$1004,Movimenti!$C$5:$C$1004,$A324,Movimenti!$A$5:$A$1004,"&gt;="&amp;DATE($B$250,6,1),Movimenti!$A$5:$A$1004,"&lt;"&amp;DATE($B$250,6+1,1)))</f>
        <v/>
      </c>
      <c r="H324" t="str">
        <f>IF($A324="","",SUMIFS(Movimenti!$V$5:$V$1004,Movimenti!$C$5:$C$1004,$A324,Movimenti!$A$5:$A$1004,"&gt;="&amp;DATE($B$250,7,1),Movimenti!$A$5:$A$1004,"&lt;"&amp;DATE($B$250,7+1,1)))</f>
        <v/>
      </c>
      <c r="I324" t="str">
        <f>IF($A324="","",SUMIFS(Movimenti!$V$5:$V$1004,Movimenti!$C$5:$C$1004,$A324,Movimenti!$A$5:$A$1004,"&gt;="&amp;DATE($B$250,8,1),Movimenti!$A$5:$A$1004,"&lt;"&amp;DATE($B$250,8+1,1)))</f>
        <v/>
      </c>
      <c r="J324" t="str">
        <f>IF($A324="","",SUMIFS(Movimenti!$V$5:$V$1004,Movimenti!$C$5:$C$1004,$A324,Movimenti!$A$5:$A$1004,"&gt;="&amp;DATE($B$250,9,1),Movimenti!$A$5:$A$1004,"&lt;"&amp;DATE($B$250,9+1,1)))</f>
        <v/>
      </c>
      <c r="K324" t="str">
        <f>IF($A324="","",SUMIFS(Movimenti!$V$5:$V$1004,Movimenti!$C$5:$C$1004,$A324,Movimenti!$A$5:$A$1004,"&gt;="&amp;DATE($B$250,10,1),Movimenti!$A$5:$A$1004,"&lt;"&amp;DATE($B$250,10+1,1)))</f>
        <v/>
      </c>
      <c r="L324" t="str">
        <f>IF($A324="","",SUMIFS(Movimenti!$V$5:$V$1004,Movimenti!$C$5:$C$1004,$A324,Movimenti!$A$5:$A$1004,"&gt;="&amp;DATE($B$250,11,1),Movimenti!$A$5:$A$1004,"&lt;"&amp;DATE($B$250,11+1,1)))</f>
        <v/>
      </c>
      <c r="M324" t="str">
        <f>IF($A324="","",SUMIFS(Movimenti!$V$5:$V$1004,Movimenti!$C$5:$C$1004,$A324,Movimenti!$A$5:$A$1004,"&gt;="&amp;DATE($B$250,12,1),Movimenti!$A$5:$A$1004,"&lt;"&amp;DATE($B$250,12+1,1)))</f>
        <v/>
      </c>
      <c r="N324" t="str">
        <f>IF($A324="","",SUM(B324:M324))</f>
        <v/>
      </c>
      <c r="O324" t="str">
        <f>IF($A324="","",SUMIFS(Movimenti!$V$5:$V$1004,Movimenti!$C$5:$C$1004,$A324))</f>
        <v/>
      </c>
      <c r="AD324">
        <f>IF(AND(ISNUMBER(Movimenti!$A306),Movimenti!$L306&lt;&gt;""),Movimenti!$A306,$B$32)</f>
        <v>45596.0</v>
      </c>
      <c r="AE324">
        <f>IF(Movimenti!$L306="",0,N(Movimenti!$L306))</f>
        <v>0</v>
      </c>
    </row>
    <row r="325">
      <c r="A325" t="inlineStr">
        <is>
          <t>Totale</t>
        </is>
      </c>
      <c r="B325">
        <f>SUM(B310:B324)</f>
        <v>0</v>
      </c>
      <c r="C325">
        <f>SUM(C310:C324)</f>
        <v>0</v>
      </c>
      <c r="D325">
        <f>SUM(D310:D324)</f>
        <v>6.22</v>
      </c>
      <c r="E325">
        <f>SUM(E310:E324)</f>
        <v>0</v>
      </c>
      <c r="F325">
        <f>SUM(F310:F324)</f>
        <v>0</v>
      </c>
      <c r="G325">
        <f>SUM(G310:G324)</f>
        <v>26.83</v>
      </c>
      <c r="H325">
        <f>SUM(H310:H324)</f>
        <v>0</v>
      </c>
      <c r="I325">
        <f>SUM(I310:I324)</f>
        <v>0</v>
      </c>
      <c r="J325">
        <f>SUM(J310:J324)</f>
        <v>6.57</v>
      </c>
      <c r="K325">
        <f>SUM(K310:K324)</f>
        <v>0</v>
      </c>
      <c r="L325">
        <f>SUM(L310:L324)</f>
        <v>0</v>
      </c>
      <c r="M325">
        <f>SUM(M310:M324)</f>
        <v>0</v>
      </c>
      <c r="N325">
        <f>SUM(N310:N324)</f>
        <v>39.62</v>
      </c>
      <c r="O325">
        <f>SUM(O310:O324)</f>
        <v>108.17</v>
      </c>
      <c r="AD325">
        <f>IF(AND(ISNUMBER(Movimenti!$A307),Movimenti!$L307&lt;&gt;""),Movimenti!$A307,$B$32)</f>
        <v>45596.0</v>
      </c>
      <c r="AE325">
        <f>IF(Movimenti!$L307="",0,N(Movimenti!$L307))</f>
        <v>0</v>
      </c>
    </row>
    <row r="326">
      <c r="AD326">
        <f>IF(AND(ISNUMBER(Movimenti!$A308),Movimenti!$L308&lt;&gt;""),Movimenti!$A308,$B$32)</f>
        <v>45596.0</v>
      </c>
      <c r="AE326">
        <f>IF(Movimenti!$L308="",0,N(Movimenti!$L308))</f>
        <v>0</v>
      </c>
    </row>
    <row r="327">
      <c r="AD327">
        <f>IF(AND(ISNUMBER(Movimenti!$A309),Movimenti!$L309&lt;&gt;""),Movimenti!$A309,$B$32)</f>
        <v>45596.0</v>
      </c>
      <c r="AE327">
        <f>IF(Movimenti!$L309="",0,N(Movimenti!$L309))</f>
        <v>0</v>
      </c>
    </row>
    <row r="328">
      <c r="AD328">
        <f>IF(AND(ISNUMBER(Movimenti!$A310),Movimenti!$L310&lt;&gt;""),Movimenti!$A310,$B$32)</f>
        <v>45596.0</v>
      </c>
      <c r="AE328">
        <f>IF(Movimenti!$L310="",0,N(Movimenti!$L310))</f>
        <v>0</v>
      </c>
    </row>
    <row r="329">
      <c r="AD329">
        <f>IF(AND(ISNUMBER(Movimenti!$A311),Movimenti!$L311&lt;&gt;""),Movimenti!$A311,$B$32)</f>
        <v>45596.0</v>
      </c>
      <c r="AE329">
        <f>IF(Movimenti!$L311="",0,N(Movimenti!$L311))</f>
        <v>0</v>
      </c>
    </row>
    <row r="330">
      <c r="A330" t="inlineStr">
        <is>
          <t>Dividendi dell’anno scelto</t>
        </is>
      </c>
      <c r="B330">
        <f>SUMIFS(Movimenti!$V$5:$V$1004,Movimenti!$A$5:$A$1004,"&gt;="&amp;DATE($B$250,1,1),Movimenti!$A$5:$A$1004,"&lt;"&amp;DATE($B$250+1,1,1))</f>
        <v>39.62</v>
      </c>
      <c r="AD330">
        <f>IF(AND(ISNUMBER(Movimenti!$A312),Movimenti!$L312&lt;&gt;""),Movimenti!$A312,$B$32)</f>
        <v>45596.0</v>
      </c>
      <c r="AE330">
        <f>IF(Movimenti!$L312="",0,N(Movimenti!$L312))</f>
        <v>0</v>
      </c>
    </row>
    <row r="331">
      <c r="A331" t="inlineStr">
        <is>
          <t>Confronto con l’anno prima</t>
        </is>
      </c>
      <c r="B331">
        <f>IF($B$250=YEAR($B$42),SUMIFS(Movimenti!$V$5:$V$1004,Movimenti!$A$5:$A$1004,"&gt;="&amp;DATE($B$250-1,1,1),Movimenti!$A$5:$A$1004,"&lt;="&amp;DATE($B$250-1,MONTH($B$42),DAY($B$42))),SUMIFS(Movimenti!$V$5:$V$1004,Movimenti!$A$5:$A$1004,"&gt;="&amp;DATE($B$250-1,1,1),Movimenti!$A$5:$A$1004,"&lt;"&amp;DATE($B$250-1+1,1,1)))</f>
        <v>28.17</v>
      </c>
      <c r="AD331">
        <f>IF(AND(ISNUMBER(Movimenti!$A313),Movimenti!$L313&lt;&gt;""),Movimenti!$A313,$B$32)</f>
        <v>45596.0</v>
      </c>
      <c r="AE331">
        <f>IF(Movimenti!$L313="",0,N(Movimenti!$L313))</f>
        <v>0</v>
      </c>
    </row>
    <row r="332">
      <c r="A332" t="inlineStr">
        <is>
          <t>Dividendi degli ultimi 12 mesi (scelti)</t>
        </is>
      </c>
      <c r="B332">
        <f>SUMIFS(Movimenti!$V$5:$V$1004,Movimenti!$A$5:$A$1004,"&gt;"&amp;($B$42-365))</f>
        <v>62.13</v>
      </c>
      <c r="AD332">
        <f>IF(AND(ISNUMBER(Movimenti!$A314),Movimenti!$L314&lt;&gt;""),Movimenti!$A314,$B$32)</f>
        <v>45596.0</v>
      </c>
      <c r="AE332">
        <f>IF(Movimenti!$L314="",0,N(Movimenti!$L314))</f>
        <v>0</v>
      </c>
    </row>
    <row r="333">
      <c r="A333" t="inlineStr">
        <is>
          <t>Media al mese</t>
        </is>
      </c>
      <c r="B333">
        <f>B332/12</f>
        <v>5.1775</v>
      </c>
      <c r="AD333">
        <f>IF(AND(ISNUMBER(Movimenti!$A315),Movimenti!$L315&lt;&gt;""),Movimenti!$A315,$B$32)</f>
        <v>45596.0</v>
      </c>
      <c r="AE333">
        <f>IF(Movimenti!$L315="",0,N(Movimenti!$L315))</f>
        <v>0</v>
      </c>
    </row>
    <row r="334">
      <c r="A334" t="inlineStr">
        <is>
          <t>Rendimento da dividendi (scelti)</t>
        </is>
      </c>
      <c r="B334">
        <f>IF($B$25&gt;0,B332/$B$25,0)</f>
        <v>0.00363880430752904</v>
      </c>
      <c r="AD334">
        <f>IF(AND(ISNUMBER(Movimenti!$A316),Movimenti!$L316&lt;&gt;""),Movimenti!$A316,$B$32)</f>
        <v>45596.0</v>
      </c>
      <c r="AE334">
        <f>IF(Movimenti!$L316="",0,N(Movimenti!$L316))</f>
        <v>0</v>
      </c>
    </row>
    <row r="335">
      <c r="A335" t="inlineStr">
        <is>
          <t>Dividendi da sempre</t>
        </is>
      </c>
      <c r="B335">
        <f>SUM(Movimenti!$V$5:$V$1004)</f>
        <v>108.17</v>
      </c>
      <c r="AD335">
        <f>IF(AND(ISNUMBER(Movimenti!$A317),Movimenti!$L317&lt;&gt;""),Movimenti!$A317,$B$32)</f>
        <v>45596.0</v>
      </c>
      <c r="AE335">
        <f>IF(Movimenti!$L317="",0,N(Movimenti!$L317))</f>
        <v>0</v>
      </c>
    </row>
    <row r="336">
      <c r="A336" t="inlineStr">
        <is>
          <t>Numero di dividendi</t>
        </is>
      </c>
      <c r="B336">
        <f>COUNT(Movimenti!$V$5:$V$1004)</f>
        <v>12</v>
      </c>
      <c r="AD336">
        <f>IF(AND(ISNUMBER(Movimenti!$A318),Movimenti!$L318&lt;&gt;""),Movimenti!$A318,$B$32)</f>
        <v>45596.0</v>
      </c>
      <c r="AE336">
        <f>IF(Movimenti!$L318="",0,N(Movimenti!$L318))</f>
        <v>0</v>
      </c>
    </row>
    <row r="337">
      <c r="A337" t="inlineStr">
        <is>
          <t>Primo dividendo</t>
        </is>
      </c>
      <c r="B337">
        <f>IF(COUNT(Movimenti!$W$5:$W$1004)=0,"",MIN(Movimenti!$W$5:$W$1004))</f>
        <v>45646.0</v>
      </c>
      <c r="AD337">
        <f>IF(AND(ISNUMBER(Movimenti!$A319),Movimenti!$L319&lt;&gt;""),Movimenti!$A319,$B$32)</f>
        <v>45596.0</v>
      </c>
      <c r="AE337">
        <f>IF(Movimenti!$L319="",0,N(Movimenti!$L319))</f>
        <v>0</v>
      </c>
    </row>
    <row r="338">
      <c r="AD338">
        <f>IF(AND(ISNUMBER(Movimenti!$A320),Movimenti!$L320&lt;&gt;""),Movimenti!$A320,$B$32)</f>
        <v>45596.0</v>
      </c>
      <c r="AE338">
        <f>IF(Movimenti!$L320="",0,N(Movimenti!$L320))</f>
        <v>0</v>
      </c>
    </row>
    <row r="339">
      <c r="AD339">
        <f>IF(AND(ISNUMBER(Movimenti!$A321),Movimenti!$L321&lt;&gt;""),Movimenti!$A321,$B$32)</f>
        <v>45596.0</v>
      </c>
      <c r="AE339">
        <f>IF(Movimenti!$L321="",0,N(Movimenti!$L321))</f>
        <v>0</v>
      </c>
    </row>
    <row r="340">
      <c r="AD340">
        <f>IF(AND(ISNUMBER(Movimenti!$A322),Movimenti!$L322&lt;&gt;""),Movimenti!$A322,$B$32)</f>
        <v>45596.0</v>
      </c>
      <c r="AE340">
        <f>IF(Movimenti!$L322="",0,N(Movimenti!$L322))</f>
        <v>0</v>
      </c>
    </row>
    <row r="341">
      <c r="AD341">
        <f>IF(AND(ISNUMBER(Movimenti!$A323),Movimenti!$L323&lt;&gt;""),Movimenti!$A323,$B$32)</f>
        <v>45596.0</v>
      </c>
      <c r="AE341">
        <f>IF(Movimenti!$L323="",0,N(Movimenti!$L323))</f>
        <v>0</v>
      </c>
    </row>
    <row r="342">
      <c r="AD342">
        <f>IF(AND(ISNUMBER(Movimenti!$A324),Movimenti!$L324&lt;&gt;""),Movimenti!$A324,$B$32)</f>
        <v>45596.0</v>
      </c>
      <c r="AE342">
        <f>IF(Movimenti!$L324="",0,N(Movimenti!$L324))</f>
        <v>0</v>
      </c>
    </row>
    <row r="343">
      <c r="AD343">
        <f>IF(AND(ISNUMBER(Movimenti!$A325),Movimenti!$L325&lt;&gt;""),Movimenti!$A325,$B$32)</f>
        <v>45596.0</v>
      </c>
      <c r="AE343">
        <f>IF(Movimenti!$L325="",0,N(Movimenti!$L325))</f>
        <v>0</v>
      </c>
    </row>
    <row r="344">
      <c r="AD344">
        <f>IF(AND(ISNUMBER(Movimenti!$A326),Movimenti!$L326&lt;&gt;""),Movimenti!$A326,$B$32)</f>
        <v>45596.0</v>
      </c>
      <c r="AE344">
        <f>IF(Movimenti!$L326="",0,N(Movimenti!$L326))</f>
        <v>0</v>
      </c>
    </row>
    <row r="345">
      <c r="AD345">
        <f>IF(AND(ISNUMBER(Movimenti!$A327),Movimenti!$L327&lt;&gt;""),Movimenti!$A327,$B$32)</f>
        <v>45596.0</v>
      </c>
      <c r="AE345">
        <f>IF(Movimenti!$L327="",0,N(Movimenti!$L327))</f>
        <v>0</v>
      </c>
    </row>
    <row r="346">
      <c r="AD346">
        <f>IF(AND(ISNUMBER(Movimenti!$A328),Movimenti!$L328&lt;&gt;""),Movimenti!$A328,$B$32)</f>
        <v>45596.0</v>
      </c>
      <c r="AE346">
        <f>IF(Movimenti!$L328="",0,N(Movimenti!$L328))</f>
        <v>0</v>
      </c>
    </row>
    <row r="347">
      <c r="AD347">
        <f>IF(AND(ISNUMBER(Movimenti!$A329),Movimenti!$L329&lt;&gt;""),Movimenti!$A329,$B$32)</f>
        <v>45596.0</v>
      </c>
      <c r="AE347">
        <f>IF(Movimenti!$L329="",0,N(Movimenti!$L329))</f>
        <v>0</v>
      </c>
    </row>
    <row r="348">
      <c r="AD348">
        <f>IF(AND(ISNUMBER(Movimenti!$A330),Movimenti!$L330&lt;&gt;""),Movimenti!$A330,$B$32)</f>
        <v>45596.0</v>
      </c>
      <c r="AE348">
        <f>IF(Movimenti!$L330="",0,N(Movimenti!$L330))</f>
        <v>0</v>
      </c>
    </row>
    <row r="349">
      <c r="AD349">
        <f>IF(AND(ISNUMBER(Movimenti!$A331),Movimenti!$L331&lt;&gt;""),Movimenti!$A331,$B$32)</f>
        <v>45596.0</v>
      </c>
      <c r="AE349">
        <f>IF(Movimenti!$L331="",0,N(Movimenti!$L331))</f>
        <v>0</v>
      </c>
    </row>
    <row r="350">
      <c r="AD350">
        <f>IF(AND(ISNUMBER(Movimenti!$A332),Movimenti!$L332&lt;&gt;""),Movimenti!$A332,$B$32)</f>
        <v>45596.0</v>
      </c>
      <c r="AE350">
        <f>IF(Movimenti!$L332="",0,N(Movimenti!$L332))</f>
        <v>0</v>
      </c>
    </row>
    <row r="351">
      <c r="AD351">
        <f>IF(AND(ISNUMBER(Movimenti!$A333),Movimenti!$L333&lt;&gt;""),Movimenti!$A333,$B$32)</f>
        <v>45596.0</v>
      </c>
      <c r="AE351">
        <f>IF(Movimenti!$L333="",0,N(Movimenti!$L333))</f>
        <v>0</v>
      </c>
    </row>
    <row r="352">
      <c r="AD352">
        <f>IF(AND(ISNUMBER(Movimenti!$A334),Movimenti!$L334&lt;&gt;""),Movimenti!$A334,$B$32)</f>
        <v>45596.0</v>
      </c>
      <c r="AE352">
        <f>IF(Movimenti!$L334="",0,N(Movimenti!$L334))</f>
        <v>0</v>
      </c>
    </row>
    <row r="353">
      <c r="AD353">
        <f>IF(AND(ISNUMBER(Movimenti!$A335),Movimenti!$L335&lt;&gt;""),Movimenti!$A335,$B$32)</f>
        <v>45596.0</v>
      </c>
      <c r="AE353">
        <f>IF(Movimenti!$L335="",0,N(Movimenti!$L335))</f>
        <v>0</v>
      </c>
    </row>
    <row r="354">
      <c r="AD354">
        <f>IF(AND(ISNUMBER(Movimenti!$A336),Movimenti!$L336&lt;&gt;""),Movimenti!$A336,$B$32)</f>
        <v>45596.0</v>
      </c>
      <c r="AE354">
        <f>IF(Movimenti!$L336="",0,N(Movimenti!$L336))</f>
        <v>0</v>
      </c>
    </row>
    <row r="355">
      <c r="AD355">
        <f>IF(AND(ISNUMBER(Movimenti!$A337),Movimenti!$L337&lt;&gt;""),Movimenti!$A337,$B$32)</f>
        <v>45596.0</v>
      </c>
      <c r="AE355">
        <f>IF(Movimenti!$L337="",0,N(Movimenti!$L337))</f>
        <v>0</v>
      </c>
    </row>
    <row r="356">
      <c r="AD356">
        <f>IF(AND(ISNUMBER(Movimenti!$A338),Movimenti!$L338&lt;&gt;""),Movimenti!$A338,$B$32)</f>
        <v>45596.0</v>
      </c>
      <c r="AE356">
        <f>IF(Movimenti!$L338="",0,N(Movimenti!$L338))</f>
        <v>0</v>
      </c>
    </row>
    <row r="357">
      <c r="AD357">
        <f>IF(AND(ISNUMBER(Movimenti!$A339),Movimenti!$L339&lt;&gt;""),Movimenti!$A339,$B$32)</f>
        <v>45596.0</v>
      </c>
      <c r="AE357">
        <f>IF(Movimenti!$L339="",0,N(Movimenti!$L339))</f>
        <v>0</v>
      </c>
    </row>
    <row r="358">
      <c r="AD358">
        <f>IF(AND(ISNUMBER(Movimenti!$A340),Movimenti!$L340&lt;&gt;""),Movimenti!$A340,$B$32)</f>
        <v>45596.0</v>
      </c>
      <c r="AE358">
        <f>IF(Movimenti!$L340="",0,N(Movimenti!$L340))</f>
        <v>0</v>
      </c>
    </row>
    <row r="359">
      <c r="AD359">
        <f>IF(AND(ISNUMBER(Movimenti!$A341),Movimenti!$L341&lt;&gt;""),Movimenti!$A341,$B$32)</f>
        <v>45596.0</v>
      </c>
      <c r="AE359">
        <f>IF(Movimenti!$L341="",0,N(Movimenti!$L341))</f>
        <v>0</v>
      </c>
    </row>
    <row r="360">
      <c r="AD360">
        <f>IF(AND(ISNUMBER(Movimenti!$A342),Movimenti!$L342&lt;&gt;""),Movimenti!$A342,$B$32)</f>
        <v>45596.0</v>
      </c>
      <c r="AE360">
        <f>IF(Movimenti!$L342="",0,N(Movimenti!$L342))</f>
        <v>0</v>
      </c>
    </row>
    <row r="361">
      <c r="AD361">
        <f>IF(AND(ISNUMBER(Movimenti!$A343),Movimenti!$L343&lt;&gt;""),Movimenti!$A343,$B$32)</f>
        <v>45596.0</v>
      </c>
      <c r="AE361">
        <f>IF(Movimenti!$L343="",0,N(Movimenti!$L343))</f>
        <v>0</v>
      </c>
    </row>
    <row r="362">
      <c r="AD362">
        <f>IF(AND(ISNUMBER(Movimenti!$A344),Movimenti!$L344&lt;&gt;""),Movimenti!$A344,$B$32)</f>
        <v>45596.0</v>
      </c>
      <c r="AE362">
        <f>IF(Movimenti!$L344="",0,N(Movimenti!$L344))</f>
        <v>0</v>
      </c>
    </row>
    <row r="363">
      <c r="AD363">
        <f>IF(AND(ISNUMBER(Movimenti!$A345),Movimenti!$L345&lt;&gt;""),Movimenti!$A345,$B$32)</f>
        <v>45596.0</v>
      </c>
      <c r="AE363">
        <f>IF(Movimenti!$L345="",0,N(Movimenti!$L345))</f>
        <v>0</v>
      </c>
    </row>
    <row r="364">
      <c r="AD364">
        <f>IF(AND(ISNUMBER(Movimenti!$A346),Movimenti!$L346&lt;&gt;""),Movimenti!$A346,$B$32)</f>
        <v>45596.0</v>
      </c>
      <c r="AE364">
        <f>IF(Movimenti!$L346="",0,N(Movimenti!$L346))</f>
        <v>0</v>
      </c>
    </row>
    <row r="365">
      <c r="AD365">
        <f>IF(AND(ISNUMBER(Movimenti!$A347),Movimenti!$L347&lt;&gt;""),Movimenti!$A347,$B$32)</f>
        <v>45596.0</v>
      </c>
      <c r="AE365">
        <f>IF(Movimenti!$L347="",0,N(Movimenti!$L347))</f>
        <v>0</v>
      </c>
    </row>
    <row r="366">
      <c r="AD366">
        <f>IF(AND(ISNUMBER(Movimenti!$A348),Movimenti!$L348&lt;&gt;""),Movimenti!$A348,$B$32)</f>
        <v>45596.0</v>
      </c>
      <c r="AE366">
        <f>IF(Movimenti!$L348="",0,N(Movimenti!$L348))</f>
        <v>0</v>
      </c>
    </row>
    <row r="367">
      <c r="AD367">
        <f>IF(AND(ISNUMBER(Movimenti!$A349),Movimenti!$L349&lt;&gt;""),Movimenti!$A349,$B$32)</f>
        <v>45596.0</v>
      </c>
      <c r="AE367">
        <f>IF(Movimenti!$L349="",0,N(Movimenti!$L349))</f>
        <v>0</v>
      </c>
    </row>
    <row r="368">
      <c r="AD368">
        <f>IF(AND(ISNUMBER(Movimenti!$A350),Movimenti!$L350&lt;&gt;""),Movimenti!$A350,$B$32)</f>
        <v>45596.0</v>
      </c>
      <c r="AE368">
        <f>IF(Movimenti!$L350="",0,N(Movimenti!$L350))</f>
        <v>0</v>
      </c>
    </row>
    <row r="369">
      <c r="AD369">
        <f>IF(AND(ISNUMBER(Movimenti!$A351),Movimenti!$L351&lt;&gt;""),Movimenti!$A351,$B$32)</f>
        <v>45596.0</v>
      </c>
      <c r="AE369">
        <f>IF(Movimenti!$L351="",0,N(Movimenti!$L351))</f>
        <v>0</v>
      </c>
    </row>
    <row r="370">
      <c r="AD370">
        <f>IF(AND(ISNUMBER(Movimenti!$A352),Movimenti!$L352&lt;&gt;""),Movimenti!$A352,$B$32)</f>
        <v>45596.0</v>
      </c>
      <c r="AE370">
        <f>IF(Movimenti!$L352="",0,N(Movimenti!$L352))</f>
        <v>0</v>
      </c>
    </row>
    <row r="371">
      <c r="AD371">
        <f>IF(AND(ISNUMBER(Movimenti!$A353),Movimenti!$L353&lt;&gt;""),Movimenti!$A353,$B$32)</f>
        <v>45596.0</v>
      </c>
      <c r="AE371">
        <f>IF(Movimenti!$L353="",0,N(Movimenti!$L353))</f>
        <v>0</v>
      </c>
    </row>
    <row r="372">
      <c r="AD372">
        <f>IF(AND(ISNUMBER(Movimenti!$A354),Movimenti!$L354&lt;&gt;""),Movimenti!$A354,$B$32)</f>
        <v>45596.0</v>
      </c>
      <c r="AE372">
        <f>IF(Movimenti!$L354="",0,N(Movimenti!$L354))</f>
        <v>0</v>
      </c>
    </row>
    <row r="373">
      <c r="AD373">
        <f>IF(AND(ISNUMBER(Movimenti!$A355),Movimenti!$L355&lt;&gt;""),Movimenti!$A355,$B$32)</f>
        <v>45596.0</v>
      </c>
      <c r="AE373">
        <f>IF(Movimenti!$L355="",0,N(Movimenti!$L355))</f>
        <v>0</v>
      </c>
    </row>
    <row r="374">
      <c r="AD374">
        <f>IF(AND(ISNUMBER(Movimenti!$A356),Movimenti!$L356&lt;&gt;""),Movimenti!$A356,$B$32)</f>
        <v>45596.0</v>
      </c>
      <c r="AE374">
        <f>IF(Movimenti!$L356="",0,N(Movimenti!$L356))</f>
        <v>0</v>
      </c>
    </row>
    <row r="375">
      <c r="AD375">
        <f>IF(AND(ISNUMBER(Movimenti!$A357),Movimenti!$L357&lt;&gt;""),Movimenti!$A357,$B$32)</f>
        <v>45596.0</v>
      </c>
      <c r="AE375">
        <f>IF(Movimenti!$L357="",0,N(Movimenti!$L357))</f>
        <v>0</v>
      </c>
    </row>
    <row r="376">
      <c r="AD376">
        <f>IF(AND(ISNUMBER(Movimenti!$A358),Movimenti!$L358&lt;&gt;""),Movimenti!$A358,$B$32)</f>
        <v>45596.0</v>
      </c>
      <c r="AE376">
        <f>IF(Movimenti!$L358="",0,N(Movimenti!$L358))</f>
        <v>0</v>
      </c>
    </row>
    <row r="377">
      <c r="AD377">
        <f>IF(AND(ISNUMBER(Movimenti!$A359),Movimenti!$L359&lt;&gt;""),Movimenti!$A359,$B$32)</f>
        <v>45596.0</v>
      </c>
      <c r="AE377">
        <f>IF(Movimenti!$L359="",0,N(Movimenti!$L359))</f>
        <v>0</v>
      </c>
    </row>
    <row r="378">
      <c r="AD378">
        <f>IF(AND(ISNUMBER(Movimenti!$A360),Movimenti!$L360&lt;&gt;""),Movimenti!$A360,$B$32)</f>
        <v>45596.0</v>
      </c>
      <c r="AE378">
        <f>IF(Movimenti!$L360="",0,N(Movimenti!$L360))</f>
        <v>0</v>
      </c>
    </row>
    <row r="379">
      <c r="AD379">
        <f>IF(AND(ISNUMBER(Movimenti!$A361),Movimenti!$L361&lt;&gt;""),Movimenti!$A361,$B$32)</f>
        <v>45596.0</v>
      </c>
      <c r="AE379">
        <f>IF(Movimenti!$L361="",0,N(Movimenti!$L361))</f>
        <v>0</v>
      </c>
    </row>
    <row r="380">
      <c r="AD380">
        <f>IF(AND(ISNUMBER(Movimenti!$A362),Movimenti!$L362&lt;&gt;""),Movimenti!$A362,$B$32)</f>
        <v>45596.0</v>
      </c>
      <c r="AE380">
        <f>IF(Movimenti!$L362="",0,N(Movimenti!$L362))</f>
        <v>0</v>
      </c>
    </row>
    <row r="381">
      <c r="AD381">
        <f>IF(AND(ISNUMBER(Movimenti!$A363),Movimenti!$L363&lt;&gt;""),Movimenti!$A363,$B$32)</f>
        <v>45596.0</v>
      </c>
      <c r="AE381">
        <f>IF(Movimenti!$L363="",0,N(Movimenti!$L363))</f>
        <v>0</v>
      </c>
    </row>
    <row r="382">
      <c r="AD382">
        <f>IF(AND(ISNUMBER(Movimenti!$A364),Movimenti!$L364&lt;&gt;""),Movimenti!$A364,$B$32)</f>
        <v>45596.0</v>
      </c>
      <c r="AE382">
        <f>IF(Movimenti!$L364="",0,N(Movimenti!$L364))</f>
        <v>0</v>
      </c>
    </row>
    <row r="383">
      <c r="AD383">
        <f>IF(AND(ISNUMBER(Movimenti!$A365),Movimenti!$L365&lt;&gt;""),Movimenti!$A365,$B$32)</f>
        <v>45596.0</v>
      </c>
      <c r="AE383">
        <f>IF(Movimenti!$L365="",0,N(Movimenti!$L365))</f>
        <v>0</v>
      </c>
    </row>
    <row r="384">
      <c r="AD384">
        <f>IF(AND(ISNUMBER(Movimenti!$A366),Movimenti!$L366&lt;&gt;""),Movimenti!$A366,$B$32)</f>
        <v>45596.0</v>
      </c>
      <c r="AE384">
        <f>IF(Movimenti!$L366="",0,N(Movimenti!$L366))</f>
        <v>0</v>
      </c>
    </row>
    <row r="385">
      <c r="AD385">
        <f>IF(AND(ISNUMBER(Movimenti!$A367),Movimenti!$L367&lt;&gt;""),Movimenti!$A367,$B$32)</f>
        <v>45596.0</v>
      </c>
      <c r="AE385">
        <f>IF(Movimenti!$L367="",0,N(Movimenti!$L367))</f>
        <v>0</v>
      </c>
    </row>
    <row r="386">
      <c r="AD386">
        <f>IF(AND(ISNUMBER(Movimenti!$A368),Movimenti!$L368&lt;&gt;""),Movimenti!$A368,$B$32)</f>
        <v>45596.0</v>
      </c>
      <c r="AE386">
        <f>IF(Movimenti!$L368="",0,N(Movimenti!$L368))</f>
        <v>0</v>
      </c>
    </row>
    <row r="387">
      <c r="AD387">
        <f>IF(AND(ISNUMBER(Movimenti!$A369),Movimenti!$L369&lt;&gt;""),Movimenti!$A369,$B$32)</f>
        <v>45596.0</v>
      </c>
      <c r="AE387">
        <f>IF(Movimenti!$L369="",0,N(Movimenti!$L369))</f>
        <v>0</v>
      </c>
    </row>
    <row r="388">
      <c r="AD388">
        <f>IF(AND(ISNUMBER(Movimenti!$A370),Movimenti!$L370&lt;&gt;""),Movimenti!$A370,$B$32)</f>
        <v>45596.0</v>
      </c>
      <c r="AE388">
        <f>IF(Movimenti!$L370="",0,N(Movimenti!$L370))</f>
        <v>0</v>
      </c>
    </row>
    <row r="389">
      <c r="AD389">
        <f>IF(AND(ISNUMBER(Movimenti!$A371),Movimenti!$L371&lt;&gt;""),Movimenti!$A371,$B$32)</f>
        <v>45596.0</v>
      </c>
      <c r="AE389">
        <f>IF(Movimenti!$L371="",0,N(Movimenti!$L371))</f>
        <v>0</v>
      </c>
    </row>
    <row r="390">
      <c r="AD390">
        <f>IF(AND(ISNUMBER(Movimenti!$A372),Movimenti!$L372&lt;&gt;""),Movimenti!$A372,$B$32)</f>
        <v>45596.0</v>
      </c>
      <c r="AE390">
        <f>IF(Movimenti!$L372="",0,N(Movimenti!$L372))</f>
        <v>0</v>
      </c>
    </row>
    <row r="391">
      <c r="AD391">
        <f>IF(AND(ISNUMBER(Movimenti!$A373),Movimenti!$L373&lt;&gt;""),Movimenti!$A373,$B$32)</f>
        <v>45596.0</v>
      </c>
      <c r="AE391">
        <f>IF(Movimenti!$L373="",0,N(Movimenti!$L373))</f>
        <v>0</v>
      </c>
    </row>
    <row r="392">
      <c r="AD392">
        <f>IF(AND(ISNUMBER(Movimenti!$A374),Movimenti!$L374&lt;&gt;""),Movimenti!$A374,$B$32)</f>
        <v>45596.0</v>
      </c>
      <c r="AE392">
        <f>IF(Movimenti!$L374="",0,N(Movimenti!$L374))</f>
        <v>0</v>
      </c>
    </row>
    <row r="393">
      <c r="AD393">
        <f>IF(AND(ISNUMBER(Movimenti!$A375),Movimenti!$L375&lt;&gt;""),Movimenti!$A375,$B$32)</f>
        <v>45596.0</v>
      </c>
      <c r="AE393">
        <f>IF(Movimenti!$L375="",0,N(Movimenti!$L375))</f>
        <v>0</v>
      </c>
    </row>
    <row r="394">
      <c r="AD394">
        <f>IF(AND(ISNUMBER(Movimenti!$A376),Movimenti!$L376&lt;&gt;""),Movimenti!$A376,$B$32)</f>
        <v>45596.0</v>
      </c>
      <c r="AE394">
        <f>IF(Movimenti!$L376="",0,N(Movimenti!$L376))</f>
        <v>0</v>
      </c>
    </row>
    <row r="395">
      <c r="AD395">
        <f>IF(AND(ISNUMBER(Movimenti!$A377),Movimenti!$L377&lt;&gt;""),Movimenti!$A377,$B$32)</f>
        <v>45596.0</v>
      </c>
      <c r="AE395">
        <f>IF(Movimenti!$L377="",0,N(Movimenti!$L377))</f>
        <v>0</v>
      </c>
    </row>
    <row r="396">
      <c r="AD396">
        <f>IF(AND(ISNUMBER(Movimenti!$A378),Movimenti!$L378&lt;&gt;""),Movimenti!$A378,$B$32)</f>
        <v>45596.0</v>
      </c>
      <c r="AE396">
        <f>IF(Movimenti!$L378="",0,N(Movimenti!$L378))</f>
        <v>0</v>
      </c>
    </row>
    <row r="397">
      <c r="AD397">
        <f>IF(AND(ISNUMBER(Movimenti!$A379),Movimenti!$L379&lt;&gt;""),Movimenti!$A379,$B$32)</f>
        <v>45596.0</v>
      </c>
      <c r="AE397">
        <f>IF(Movimenti!$L379="",0,N(Movimenti!$L379))</f>
        <v>0</v>
      </c>
    </row>
    <row r="398">
      <c r="AD398">
        <f>IF(AND(ISNUMBER(Movimenti!$A380),Movimenti!$L380&lt;&gt;""),Movimenti!$A380,$B$32)</f>
        <v>45596.0</v>
      </c>
      <c r="AE398">
        <f>IF(Movimenti!$L380="",0,N(Movimenti!$L380))</f>
        <v>0</v>
      </c>
    </row>
    <row r="399">
      <c r="AD399">
        <f>IF(AND(ISNUMBER(Movimenti!$A381),Movimenti!$L381&lt;&gt;""),Movimenti!$A381,$B$32)</f>
        <v>45596.0</v>
      </c>
      <c r="AE399">
        <f>IF(Movimenti!$L381="",0,N(Movimenti!$L381))</f>
        <v>0</v>
      </c>
    </row>
    <row r="400">
      <c r="AD400">
        <f>IF(AND(ISNUMBER(Movimenti!$A382),Movimenti!$L382&lt;&gt;""),Movimenti!$A382,$B$32)</f>
        <v>45596.0</v>
      </c>
      <c r="AE400">
        <f>IF(Movimenti!$L382="",0,N(Movimenti!$L382))</f>
        <v>0</v>
      </c>
    </row>
    <row r="401">
      <c r="AD401">
        <f>IF(AND(ISNUMBER(Movimenti!$A383),Movimenti!$L383&lt;&gt;""),Movimenti!$A383,$B$32)</f>
        <v>45596.0</v>
      </c>
      <c r="AE401">
        <f>IF(Movimenti!$L383="",0,N(Movimenti!$L383))</f>
        <v>0</v>
      </c>
    </row>
    <row r="402">
      <c r="AD402">
        <f>IF(AND(ISNUMBER(Movimenti!$A384),Movimenti!$L384&lt;&gt;""),Movimenti!$A384,$B$32)</f>
        <v>45596.0</v>
      </c>
      <c r="AE402">
        <f>IF(Movimenti!$L384="",0,N(Movimenti!$L384))</f>
        <v>0</v>
      </c>
    </row>
    <row r="403">
      <c r="AD403">
        <f>IF(AND(ISNUMBER(Movimenti!$A385),Movimenti!$L385&lt;&gt;""),Movimenti!$A385,$B$32)</f>
        <v>45596.0</v>
      </c>
      <c r="AE403">
        <f>IF(Movimenti!$L385="",0,N(Movimenti!$L385))</f>
        <v>0</v>
      </c>
    </row>
    <row r="404">
      <c r="AD404">
        <f>IF(AND(ISNUMBER(Movimenti!$A386),Movimenti!$L386&lt;&gt;""),Movimenti!$A386,$B$32)</f>
        <v>45596.0</v>
      </c>
      <c r="AE404">
        <f>IF(Movimenti!$L386="",0,N(Movimenti!$L386))</f>
        <v>0</v>
      </c>
    </row>
    <row r="405">
      <c r="AD405">
        <f>IF(AND(ISNUMBER(Movimenti!$A387),Movimenti!$L387&lt;&gt;""),Movimenti!$A387,$B$32)</f>
        <v>45596.0</v>
      </c>
      <c r="AE405">
        <f>IF(Movimenti!$L387="",0,N(Movimenti!$L387))</f>
        <v>0</v>
      </c>
    </row>
    <row r="406">
      <c r="AD406">
        <f>IF(AND(ISNUMBER(Movimenti!$A388),Movimenti!$L388&lt;&gt;""),Movimenti!$A388,$B$32)</f>
        <v>45596.0</v>
      </c>
      <c r="AE406">
        <f>IF(Movimenti!$L388="",0,N(Movimenti!$L388))</f>
        <v>0</v>
      </c>
    </row>
    <row r="407">
      <c r="AD407">
        <f>IF(AND(ISNUMBER(Movimenti!$A389),Movimenti!$L389&lt;&gt;""),Movimenti!$A389,$B$32)</f>
        <v>45596.0</v>
      </c>
      <c r="AE407">
        <f>IF(Movimenti!$L389="",0,N(Movimenti!$L389))</f>
        <v>0</v>
      </c>
    </row>
    <row r="408">
      <c r="AD408">
        <f>IF(AND(ISNUMBER(Movimenti!$A390),Movimenti!$L390&lt;&gt;""),Movimenti!$A390,$B$32)</f>
        <v>45596.0</v>
      </c>
      <c r="AE408">
        <f>IF(Movimenti!$L390="",0,N(Movimenti!$L390))</f>
        <v>0</v>
      </c>
    </row>
    <row r="409">
      <c r="AD409">
        <f>IF(AND(ISNUMBER(Movimenti!$A391),Movimenti!$L391&lt;&gt;""),Movimenti!$A391,$B$32)</f>
        <v>45596.0</v>
      </c>
      <c r="AE409">
        <f>IF(Movimenti!$L391="",0,N(Movimenti!$L391))</f>
        <v>0</v>
      </c>
    </row>
    <row r="410">
      <c r="AD410">
        <f>IF(AND(ISNUMBER(Movimenti!$A392),Movimenti!$L392&lt;&gt;""),Movimenti!$A392,$B$32)</f>
        <v>45596.0</v>
      </c>
      <c r="AE410">
        <f>IF(Movimenti!$L392="",0,N(Movimenti!$L392))</f>
        <v>0</v>
      </c>
    </row>
    <row r="411">
      <c r="AD411">
        <f>IF(AND(ISNUMBER(Movimenti!$A393),Movimenti!$L393&lt;&gt;""),Movimenti!$A393,$B$32)</f>
        <v>45596.0</v>
      </c>
      <c r="AE411">
        <f>IF(Movimenti!$L393="",0,N(Movimenti!$L393))</f>
        <v>0</v>
      </c>
    </row>
    <row r="412">
      <c r="AD412">
        <f>IF(AND(ISNUMBER(Movimenti!$A394),Movimenti!$L394&lt;&gt;""),Movimenti!$A394,$B$32)</f>
        <v>45596.0</v>
      </c>
      <c r="AE412">
        <f>IF(Movimenti!$L394="",0,N(Movimenti!$L394))</f>
        <v>0</v>
      </c>
    </row>
    <row r="413">
      <c r="AD413">
        <f>IF(AND(ISNUMBER(Movimenti!$A395),Movimenti!$L395&lt;&gt;""),Movimenti!$A395,$B$32)</f>
        <v>45596.0</v>
      </c>
      <c r="AE413">
        <f>IF(Movimenti!$L395="",0,N(Movimenti!$L395))</f>
        <v>0</v>
      </c>
    </row>
    <row r="414">
      <c r="AD414">
        <f>IF(AND(ISNUMBER(Movimenti!$A396),Movimenti!$L396&lt;&gt;""),Movimenti!$A396,$B$32)</f>
        <v>45596.0</v>
      </c>
      <c r="AE414">
        <f>IF(Movimenti!$L396="",0,N(Movimenti!$L396))</f>
        <v>0</v>
      </c>
    </row>
    <row r="415">
      <c r="AD415">
        <f>IF(AND(ISNUMBER(Movimenti!$A397),Movimenti!$L397&lt;&gt;""),Movimenti!$A397,$B$32)</f>
        <v>45596.0</v>
      </c>
      <c r="AE415">
        <f>IF(Movimenti!$L397="",0,N(Movimenti!$L397))</f>
        <v>0</v>
      </c>
    </row>
    <row r="416">
      <c r="AD416">
        <f>IF(AND(ISNUMBER(Movimenti!$A398),Movimenti!$L398&lt;&gt;""),Movimenti!$A398,$B$32)</f>
        <v>45596.0</v>
      </c>
      <c r="AE416">
        <f>IF(Movimenti!$L398="",0,N(Movimenti!$L398))</f>
        <v>0</v>
      </c>
    </row>
    <row r="417">
      <c r="AD417">
        <f>IF(AND(ISNUMBER(Movimenti!$A399),Movimenti!$L399&lt;&gt;""),Movimenti!$A399,$B$32)</f>
        <v>45596.0</v>
      </c>
      <c r="AE417">
        <f>IF(Movimenti!$L399="",0,N(Movimenti!$L399))</f>
        <v>0</v>
      </c>
    </row>
    <row r="418">
      <c r="AD418">
        <f>IF(AND(ISNUMBER(Movimenti!$A400),Movimenti!$L400&lt;&gt;""),Movimenti!$A400,$B$32)</f>
        <v>45596.0</v>
      </c>
      <c r="AE418">
        <f>IF(Movimenti!$L400="",0,N(Movimenti!$L400))</f>
        <v>0</v>
      </c>
    </row>
    <row r="419">
      <c r="AD419">
        <f>IF(AND(ISNUMBER(Movimenti!$A401),Movimenti!$L401&lt;&gt;""),Movimenti!$A401,$B$32)</f>
        <v>45596.0</v>
      </c>
      <c r="AE419">
        <f>IF(Movimenti!$L401="",0,N(Movimenti!$L401))</f>
        <v>0</v>
      </c>
    </row>
    <row r="420">
      <c r="AD420">
        <f>IF(AND(ISNUMBER(Movimenti!$A402),Movimenti!$L402&lt;&gt;""),Movimenti!$A402,$B$32)</f>
        <v>45596.0</v>
      </c>
      <c r="AE420">
        <f>IF(Movimenti!$L402="",0,N(Movimenti!$L402))</f>
        <v>0</v>
      </c>
    </row>
    <row r="421">
      <c r="AD421">
        <f>IF(AND(ISNUMBER(Movimenti!$A403),Movimenti!$L403&lt;&gt;""),Movimenti!$A403,$B$32)</f>
        <v>45596.0</v>
      </c>
      <c r="AE421">
        <f>IF(Movimenti!$L403="",0,N(Movimenti!$L403))</f>
        <v>0</v>
      </c>
    </row>
    <row r="422">
      <c r="AD422">
        <f>IF(AND(ISNUMBER(Movimenti!$A404),Movimenti!$L404&lt;&gt;""),Movimenti!$A404,$B$32)</f>
        <v>45596.0</v>
      </c>
      <c r="AE422">
        <f>IF(Movimenti!$L404="",0,N(Movimenti!$L404))</f>
        <v>0</v>
      </c>
    </row>
    <row r="423">
      <c r="AD423">
        <f>IF(AND(ISNUMBER(Movimenti!$A405),Movimenti!$L405&lt;&gt;""),Movimenti!$A405,$B$32)</f>
        <v>45596.0</v>
      </c>
      <c r="AE423">
        <f>IF(Movimenti!$L405="",0,N(Movimenti!$L405))</f>
        <v>0</v>
      </c>
    </row>
    <row r="424">
      <c r="AD424">
        <f>IF(AND(ISNUMBER(Movimenti!$A406),Movimenti!$L406&lt;&gt;""),Movimenti!$A406,$B$32)</f>
        <v>45596.0</v>
      </c>
      <c r="AE424">
        <f>IF(Movimenti!$L406="",0,N(Movimenti!$L406))</f>
        <v>0</v>
      </c>
    </row>
    <row r="425">
      <c r="AD425">
        <f>IF(AND(ISNUMBER(Movimenti!$A407),Movimenti!$L407&lt;&gt;""),Movimenti!$A407,$B$32)</f>
        <v>45596.0</v>
      </c>
      <c r="AE425">
        <f>IF(Movimenti!$L407="",0,N(Movimenti!$L407))</f>
        <v>0</v>
      </c>
    </row>
    <row r="426">
      <c r="AD426">
        <f>IF(AND(ISNUMBER(Movimenti!$A408),Movimenti!$L408&lt;&gt;""),Movimenti!$A408,$B$32)</f>
        <v>45596.0</v>
      </c>
      <c r="AE426">
        <f>IF(Movimenti!$L408="",0,N(Movimenti!$L408))</f>
        <v>0</v>
      </c>
    </row>
    <row r="427">
      <c r="AD427">
        <f>IF(AND(ISNUMBER(Movimenti!$A409),Movimenti!$L409&lt;&gt;""),Movimenti!$A409,$B$32)</f>
        <v>45596.0</v>
      </c>
      <c r="AE427">
        <f>IF(Movimenti!$L409="",0,N(Movimenti!$L409))</f>
        <v>0</v>
      </c>
    </row>
    <row r="428">
      <c r="AD428">
        <f>IF(AND(ISNUMBER(Movimenti!$A410),Movimenti!$L410&lt;&gt;""),Movimenti!$A410,$B$32)</f>
        <v>45596.0</v>
      </c>
      <c r="AE428">
        <f>IF(Movimenti!$L410="",0,N(Movimenti!$L410))</f>
        <v>0</v>
      </c>
    </row>
    <row r="429">
      <c r="AD429">
        <f>IF(AND(ISNUMBER(Movimenti!$A411),Movimenti!$L411&lt;&gt;""),Movimenti!$A411,$B$32)</f>
        <v>45596.0</v>
      </c>
      <c r="AE429">
        <f>IF(Movimenti!$L411="",0,N(Movimenti!$L411))</f>
        <v>0</v>
      </c>
    </row>
    <row r="430">
      <c r="AD430">
        <f>IF(AND(ISNUMBER(Movimenti!$A412),Movimenti!$L412&lt;&gt;""),Movimenti!$A412,$B$32)</f>
        <v>45596.0</v>
      </c>
      <c r="AE430">
        <f>IF(Movimenti!$L412="",0,N(Movimenti!$L412))</f>
        <v>0</v>
      </c>
    </row>
    <row r="431">
      <c r="AD431">
        <f>IF(AND(ISNUMBER(Movimenti!$A413),Movimenti!$L413&lt;&gt;""),Movimenti!$A413,$B$32)</f>
        <v>45596.0</v>
      </c>
      <c r="AE431">
        <f>IF(Movimenti!$L413="",0,N(Movimenti!$L413))</f>
        <v>0</v>
      </c>
    </row>
    <row r="432">
      <c r="AD432">
        <f>IF(AND(ISNUMBER(Movimenti!$A414),Movimenti!$L414&lt;&gt;""),Movimenti!$A414,$B$32)</f>
        <v>45596.0</v>
      </c>
      <c r="AE432">
        <f>IF(Movimenti!$L414="",0,N(Movimenti!$L414))</f>
        <v>0</v>
      </c>
    </row>
    <row r="433">
      <c r="AD433">
        <f>IF(AND(ISNUMBER(Movimenti!$A415),Movimenti!$L415&lt;&gt;""),Movimenti!$A415,$B$32)</f>
        <v>45596.0</v>
      </c>
      <c r="AE433">
        <f>IF(Movimenti!$L415="",0,N(Movimenti!$L415))</f>
        <v>0</v>
      </c>
    </row>
    <row r="434">
      <c r="AD434">
        <f>IF(AND(ISNUMBER(Movimenti!$A416),Movimenti!$L416&lt;&gt;""),Movimenti!$A416,$B$32)</f>
        <v>45596.0</v>
      </c>
      <c r="AE434">
        <f>IF(Movimenti!$L416="",0,N(Movimenti!$L416))</f>
        <v>0</v>
      </c>
    </row>
    <row r="435">
      <c r="AD435">
        <f>IF(AND(ISNUMBER(Movimenti!$A417),Movimenti!$L417&lt;&gt;""),Movimenti!$A417,$B$32)</f>
        <v>45596.0</v>
      </c>
      <c r="AE435">
        <f>IF(Movimenti!$L417="",0,N(Movimenti!$L417))</f>
        <v>0</v>
      </c>
    </row>
    <row r="436">
      <c r="AD436">
        <f>IF(AND(ISNUMBER(Movimenti!$A418),Movimenti!$L418&lt;&gt;""),Movimenti!$A418,$B$32)</f>
        <v>45596.0</v>
      </c>
      <c r="AE436">
        <f>IF(Movimenti!$L418="",0,N(Movimenti!$L418))</f>
        <v>0</v>
      </c>
    </row>
    <row r="437">
      <c r="AD437">
        <f>IF(AND(ISNUMBER(Movimenti!$A419),Movimenti!$L419&lt;&gt;""),Movimenti!$A419,$B$32)</f>
        <v>45596.0</v>
      </c>
      <c r="AE437">
        <f>IF(Movimenti!$L419="",0,N(Movimenti!$L419))</f>
        <v>0</v>
      </c>
    </row>
    <row r="438">
      <c r="AD438">
        <f>IF(AND(ISNUMBER(Movimenti!$A420),Movimenti!$L420&lt;&gt;""),Movimenti!$A420,$B$32)</f>
        <v>45596.0</v>
      </c>
      <c r="AE438">
        <f>IF(Movimenti!$L420="",0,N(Movimenti!$L420))</f>
        <v>0</v>
      </c>
    </row>
    <row r="439">
      <c r="AD439">
        <f>IF(AND(ISNUMBER(Movimenti!$A421),Movimenti!$L421&lt;&gt;""),Movimenti!$A421,$B$32)</f>
        <v>45596.0</v>
      </c>
      <c r="AE439">
        <f>IF(Movimenti!$L421="",0,N(Movimenti!$L421))</f>
        <v>0</v>
      </c>
    </row>
    <row r="440">
      <c r="AD440">
        <f>IF(AND(ISNUMBER(Movimenti!$A422),Movimenti!$L422&lt;&gt;""),Movimenti!$A422,$B$32)</f>
        <v>45596.0</v>
      </c>
      <c r="AE440">
        <f>IF(Movimenti!$L422="",0,N(Movimenti!$L422))</f>
        <v>0</v>
      </c>
    </row>
    <row r="441">
      <c r="AD441">
        <f>IF(AND(ISNUMBER(Movimenti!$A423),Movimenti!$L423&lt;&gt;""),Movimenti!$A423,$B$32)</f>
        <v>45596.0</v>
      </c>
      <c r="AE441">
        <f>IF(Movimenti!$L423="",0,N(Movimenti!$L423))</f>
        <v>0</v>
      </c>
    </row>
    <row r="442">
      <c r="AD442">
        <f>IF(AND(ISNUMBER(Movimenti!$A424),Movimenti!$L424&lt;&gt;""),Movimenti!$A424,$B$32)</f>
        <v>45596.0</v>
      </c>
      <c r="AE442">
        <f>IF(Movimenti!$L424="",0,N(Movimenti!$L424))</f>
        <v>0</v>
      </c>
    </row>
    <row r="443">
      <c r="AD443">
        <f>IF(AND(ISNUMBER(Movimenti!$A425),Movimenti!$L425&lt;&gt;""),Movimenti!$A425,$B$32)</f>
        <v>45596.0</v>
      </c>
      <c r="AE443">
        <f>IF(Movimenti!$L425="",0,N(Movimenti!$L425))</f>
        <v>0</v>
      </c>
    </row>
    <row r="444">
      <c r="AD444">
        <f>IF(AND(ISNUMBER(Movimenti!$A426),Movimenti!$L426&lt;&gt;""),Movimenti!$A426,$B$32)</f>
        <v>45596.0</v>
      </c>
      <c r="AE444">
        <f>IF(Movimenti!$L426="",0,N(Movimenti!$L426))</f>
        <v>0</v>
      </c>
    </row>
    <row r="445">
      <c r="AD445">
        <f>IF(AND(ISNUMBER(Movimenti!$A427),Movimenti!$L427&lt;&gt;""),Movimenti!$A427,$B$32)</f>
        <v>45596.0</v>
      </c>
      <c r="AE445">
        <f>IF(Movimenti!$L427="",0,N(Movimenti!$L427))</f>
        <v>0</v>
      </c>
    </row>
    <row r="446">
      <c r="AD446">
        <f>IF(AND(ISNUMBER(Movimenti!$A428),Movimenti!$L428&lt;&gt;""),Movimenti!$A428,$B$32)</f>
        <v>45596.0</v>
      </c>
      <c r="AE446">
        <f>IF(Movimenti!$L428="",0,N(Movimenti!$L428))</f>
        <v>0</v>
      </c>
    </row>
    <row r="447">
      <c r="AD447">
        <f>IF(AND(ISNUMBER(Movimenti!$A429),Movimenti!$L429&lt;&gt;""),Movimenti!$A429,$B$32)</f>
        <v>45596.0</v>
      </c>
      <c r="AE447">
        <f>IF(Movimenti!$L429="",0,N(Movimenti!$L429))</f>
        <v>0</v>
      </c>
    </row>
    <row r="448">
      <c r="AD448">
        <f>IF(AND(ISNUMBER(Movimenti!$A430),Movimenti!$L430&lt;&gt;""),Movimenti!$A430,$B$32)</f>
        <v>45596.0</v>
      </c>
      <c r="AE448">
        <f>IF(Movimenti!$L430="",0,N(Movimenti!$L430))</f>
        <v>0</v>
      </c>
    </row>
    <row r="449">
      <c r="AD449">
        <f>IF(AND(ISNUMBER(Movimenti!$A431),Movimenti!$L431&lt;&gt;""),Movimenti!$A431,$B$32)</f>
        <v>45596.0</v>
      </c>
      <c r="AE449">
        <f>IF(Movimenti!$L431="",0,N(Movimenti!$L431))</f>
        <v>0</v>
      </c>
    </row>
    <row r="450">
      <c r="AD450">
        <f>IF(AND(ISNUMBER(Movimenti!$A432),Movimenti!$L432&lt;&gt;""),Movimenti!$A432,$B$32)</f>
        <v>45596.0</v>
      </c>
      <c r="AE450">
        <f>IF(Movimenti!$L432="",0,N(Movimenti!$L432))</f>
        <v>0</v>
      </c>
    </row>
    <row r="451">
      <c r="AD451">
        <f>IF(AND(ISNUMBER(Movimenti!$A433),Movimenti!$L433&lt;&gt;""),Movimenti!$A433,$B$32)</f>
        <v>45596.0</v>
      </c>
      <c r="AE451">
        <f>IF(Movimenti!$L433="",0,N(Movimenti!$L433))</f>
        <v>0</v>
      </c>
    </row>
    <row r="452">
      <c r="AD452">
        <f>IF(AND(ISNUMBER(Movimenti!$A434),Movimenti!$L434&lt;&gt;""),Movimenti!$A434,$B$32)</f>
        <v>45596.0</v>
      </c>
      <c r="AE452">
        <f>IF(Movimenti!$L434="",0,N(Movimenti!$L434))</f>
        <v>0</v>
      </c>
    </row>
    <row r="453">
      <c r="AD453">
        <f>IF(AND(ISNUMBER(Movimenti!$A435),Movimenti!$L435&lt;&gt;""),Movimenti!$A435,$B$32)</f>
        <v>45596.0</v>
      </c>
      <c r="AE453">
        <f>IF(Movimenti!$L435="",0,N(Movimenti!$L435))</f>
        <v>0</v>
      </c>
    </row>
    <row r="454">
      <c r="AD454">
        <f>IF(AND(ISNUMBER(Movimenti!$A436),Movimenti!$L436&lt;&gt;""),Movimenti!$A436,$B$32)</f>
        <v>45596.0</v>
      </c>
      <c r="AE454">
        <f>IF(Movimenti!$L436="",0,N(Movimenti!$L436))</f>
        <v>0</v>
      </c>
    </row>
    <row r="455">
      <c r="AD455">
        <f>IF(AND(ISNUMBER(Movimenti!$A437),Movimenti!$L437&lt;&gt;""),Movimenti!$A437,$B$32)</f>
        <v>45596.0</v>
      </c>
      <c r="AE455">
        <f>IF(Movimenti!$L437="",0,N(Movimenti!$L437))</f>
        <v>0</v>
      </c>
    </row>
    <row r="456">
      <c r="AD456">
        <f>IF(AND(ISNUMBER(Movimenti!$A438),Movimenti!$L438&lt;&gt;""),Movimenti!$A438,$B$32)</f>
        <v>45596.0</v>
      </c>
      <c r="AE456">
        <f>IF(Movimenti!$L438="",0,N(Movimenti!$L438))</f>
        <v>0</v>
      </c>
    </row>
    <row r="457">
      <c r="AD457">
        <f>IF(AND(ISNUMBER(Movimenti!$A439),Movimenti!$L439&lt;&gt;""),Movimenti!$A439,$B$32)</f>
        <v>45596.0</v>
      </c>
      <c r="AE457">
        <f>IF(Movimenti!$L439="",0,N(Movimenti!$L439))</f>
        <v>0</v>
      </c>
    </row>
    <row r="458">
      <c r="AD458">
        <f>IF(AND(ISNUMBER(Movimenti!$A440),Movimenti!$L440&lt;&gt;""),Movimenti!$A440,$B$32)</f>
        <v>45596.0</v>
      </c>
      <c r="AE458">
        <f>IF(Movimenti!$L440="",0,N(Movimenti!$L440))</f>
        <v>0</v>
      </c>
    </row>
    <row r="459">
      <c r="AD459">
        <f>IF(AND(ISNUMBER(Movimenti!$A441),Movimenti!$L441&lt;&gt;""),Movimenti!$A441,$B$32)</f>
        <v>45596.0</v>
      </c>
      <c r="AE459">
        <f>IF(Movimenti!$L441="",0,N(Movimenti!$L441))</f>
        <v>0</v>
      </c>
    </row>
    <row r="460">
      <c r="AD460">
        <f>IF(AND(ISNUMBER(Movimenti!$A442),Movimenti!$L442&lt;&gt;""),Movimenti!$A442,$B$32)</f>
        <v>45596.0</v>
      </c>
      <c r="AE460">
        <f>IF(Movimenti!$L442="",0,N(Movimenti!$L442))</f>
        <v>0</v>
      </c>
    </row>
    <row r="461">
      <c r="AD461">
        <f>IF(AND(ISNUMBER(Movimenti!$A443),Movimenti!$L443&lt;&gt;""),Movimenti!$A443,$B$32)</f>
        <v>45596.0</v>
      </c>
      <c r="AE461">
        <f>IF(Movimenti!$L443="",0,N(Movimenti!$L443))</f>
        <v>0</v>
      </c>
    </row>
    <row r="462">
      <c r="AD462">
        <f>IF(AND(ISNUMBER(Movimenti!$A444),Movimenti!$L444&lt;&gt;""),Movimenti!$A444,$B$32)</f>
        <v>45596.0</v>
      </c>
      <c r="AE462">
        <f>IF(Movimenti!$L444="",0,N(Movimenti!$L444))</f>
        <v>0</v>
      </c>
    </row>
    <row r="463">
      <c r="AD463">
        <f>IF(AND(ISNUMBER(Movimenti!$A445),Movimenti!$L445&lt;&gt;""),Movimenti!$A445,$B$32)</f>
        <v>45596.0</v>
      </c>
      <c r="AE463">
        <f>IF(Movimenti!$L445="",0,N(Movimenti!$L445))</f>
        <v>0</v>
      </c>
    </row>
    <row r="464">
      <c r="AD464">
        <f>IF(AND(ISNUMBER(Movimenti!$A446),Movimenti!$L446&lt;&gt;""),Movimenti!$A446,$B$32)</f>
        <v>45596.0</v>
      </c>
      <c r="AE464">
        <f>IF(Movimenti!$L446="",0,N(Movimenti!$L446))</f>
        <v>0</v>
      </c>
    </row>
    <row r="465">
      <c r="AD465">
        <f>IF(AND(ISNUMBER(Movimenti!$A447),Movimenti!$L447&lt;&gt;""),Movimenti!$A447,$B$32)</f>
        <v>45596.0</v>
      </c>
      <c r="AE465">
        <f>IF(Movimenti!$L447="",0,N(Movimenti!$L447))</f>
        <v>0</v>
      </c>
    </row>
    <row r="466">
      <c r="AD466">
        <f>IF(AND(ISNUMBER(Movimenti!$A448),Movimenti!$L448&lt;&gt;""),Movimenti!$A448,$B$32)</f>
        <v>45596.0</v>
      </c>
      <c r="AE466">
        <f>IF(Movimenti!$L448="",0,N(Movimenti!$L448))</f>
        <v>0</v>
      </c>
    </row>
    <row r="467">
      <c r="AD467">
        <f>IF(AND(ISNUMBER(Movimenti!$A449),Movimenti!$L449&lt;&gt;""),Movimenti!$A449,$B$32)</f>
        <v>45596.0</v>
      </c>
      <c r="AE467">
        <f>IF(Movimenti!$L449="",0,N(Movimenti!$L449))</f>
        <v>0</v>
      </c>
    </row>
    <row r="468">
      <c r="AD468">
        <f>IF(AND(ISNUMBER(Movimenti!$A450),Movimenti!$L450&lt;&gt;""),Movimenti!$A450,$B$32)</f>
        <v>45596.0</v>
      </c>
      <c r="AE468">
        <f>IF(Movimenti!$L450="",0,N(Movimenti!$L450))</f>
        <v>0</v>
      </c>
    </row>
    <row r="469">
      <c r="AD469">
        <f>IF(AND(ISNUMBER(Movimenti!$A451),Movimenti!$L451&lt;&gt;""),Movimenti!$A451,$B$32)</f>
        <v>45596.0</v>
      </c>
      <c r="AE469">
        <f>IF(Movimenti!$L451="",0,N(Movimenti!$L451))</f>
        <v>0</v>
      </c>
    </row>
    <row r="470">
      <c r="AD470">
        <f>IF(AND(ISNUMBER(Movimenti!$A452),Movimenti!$L452&lt;&gt;""),Movimenti!$A452,$B$32)</f>
        <v>45596.0</v>
      </c>
      <c r="AE470">
        <f>IF(Movimenti!$L452="",0,N(Movimenti!$L452))</f>
        <v>0</v>
      </c>
    </row>
    <row r="471">
      <c r="AD471">
        <f>IF(AND(ISNUMBER(Movimenti!$A453),Movimenti!$L453&lt;&gt;""),Movimenti!$A453,$B$32)</f>
        <v>45596.0</v>
      </c>
      <c r="AE471">
        <f>IF(Movimenti!$L453="",0,N(Movimenti!$L453))</f>
        <v>0</v>
      </c>
    </row>
    <row r="472">
      <c r="AD472">
        <f>IF(AND(ISNUMBER(Movimenti!$A454),Movimenti!$L454&lt;&gt;""),Movimenti!$A454,$B$32)</f>
        <v>45596.0</v>
      </c>
      <c r="AE472">
        <f>IF(Movimenti!$L454="",0,N(Movimenti!$L454))</f>
        <v>0</v>
      </c>
    </row>
    <row r="473">
      <c r="AD473">
        <f>IF(AND(ISNUMBER(Movimenti!$A455),Movimenti!$L455&lt;&gt;""),Movimenti!$A455,$B$32)</f>
        <v>45596.0</v>
      </c>
      <c r="AE473">
        <f>IF(Movimenti!$L455="",0,N(Movimenti!$L455))</f>
        <v>0</v>
      </c>
    </row>
    <row r="474">
      <c r="AD474">
        <f>IF(AND(ISNUMBER(Movimenti!$A456),Movimenti!$L456&lt;&gt;""),Movimenti!$A456,$B$32)</f>
        <v>45596.0</v>
      </c>
      <c r="AE474">
        <f>IF(Movimenti!$L456="",0,N(Movimenti!$L456))</f>
        <v>0</v>
      </c>
    </row>
    <row r="475">
      <c r="AD475">
        <f>IF(AND(ISNUMBER(Movimenti!$A457),Movimenti!$L457&lt;&gt;""),Movimenti!$A457,$B$32)</f>
        <v>45596.0</v>
      </c>
      <c r="AE475">
        <f>IF(Movimenti!$L457="",0,N(Movimenti!$L457))</f>
        <v>0</v>
      </c>
    </row>
    <row r="476">
      <c r="AD476">
        <f>IF(AND(ISNUMBER(Movimenti!$A458),Movimenti!$L458&lt;&gt;""),Movimenti!$A458,$B$32)</f>
        <v>45596.0</v>
      </c>
      <c r="AE476">
        <f>IF(Movimenti!$L458="",0,N(Movimenti!$L458))</f>
        <v>0</v>
      </c>
    </row>
    <row r="477">
      <c r="AD477">
        <f>IF(AND(ISNUMBER(Movimenti!$A459),Movimenti!$L459&lt;&gt;""),Movimenti!$A459,$B$32)</f>
        <v>45596.0</v>
      </c>
      <c r="AE477">
        <f>IF(Movimenti!$L459="",0,N(Movimenti!$L459))</f>
        <v>0</v>
      </c>
    </row>
    <row r="478">
      <c r="AD478">
        <f>IF(AND(ISNUMBER(Movimenti!$A460),Movimenti!$L460&lt;&gt;""),Movimenti!$A460,$B$32)</f>
        <v>45596.0</v>
      </c>
      <c r="AE478">
        <f>IF(Movimenti!$L460="",0,N(Movimenti!$L460))</f>
        <v>0</v>
      </c>
    </row>
    <row r="479">
      <c r="AD479">
        <f>IF(AND(ISNUMBER(Movimenti!$A461),Movimenti!$L461&lt;&gt;""),Movimenti!$A461,$B$32)</f>
        <v>45596.0</v>
      </c>
      <c r="AE479">
        <f>IF(Movimenti!$L461="",0,N(Movimenti!$L461))</f>
        <v>0</v>
      </c>
    </row>
    <row r="480">
      <c r="AD480">
        <f>IF(AND(ISNUMBER(Movimenti!$A462),Movimenti!$L462&lt;&gt;""),Movimenti!$A462,$B$32)</f>
        <v>45596.0</v>
      </c>
      <c r="AE480">
        <f>IF(Movimenti!$L462="",0,N(Movimenti!$L462))</f>
        <v>0</v>
      </c>
    </row>
    <row r="481">
      <c r="AD481">
        <f>IF(AND(ISNUMBER(Movimenti!$A463),Movimenti!$L463&lt;&gt;""),Movimenti!$A463,$B$32)</f>
        <v>45596.0</v>
      </c>
      <c r="AE481">
        <f>IF(Movimenti!$L463="",0,N(Movimenti!$L463))</f>
        <v>0</v>
      </c>
    </row>
    <row r="482">
      <c r="AD482">
        <f>IF(AND(ISNUMBER(Movimenti!$A464),Movimenti!$L464&lt;&gt;""),Movimenti!$A464,$B$32)</f>
        <v>45596.0</v>
      </c>
      <c r="AE482">
        <f>IF(Movimenti!$L464="",0,N(Movimenti!$L464))</f>
        <v>0</v>
      </c>
    </row>
    <row r="483">
      <c r="AD483">
        <f>IF(AND(ISNUMBER(Movimenti!$A465),Movimenti!$L465&lt;&gt;""),Movimenti!$A465,$B$32)</f>
        <v>45596.0</v>
      </c>
      <c r="AE483">
        <f>IF(Movimenti!$L465="",0,N(Movimenti!$L465))</f>
        <v>0</v>
      </c>
    </row>
    <row r="484">
      <c r="AD484">
        <f>IF(AND(ISNUMBER(Movimenti!$A466),Movimenti!$L466&lt;&gt;""),Movimenti!$A466,$B$32)</f>
        <v>45596.0</v>
      </c>
      <c r="AE484">
        <f>IF(Movimenti!$L466="",0,N(Movimenti!$L466))</f>
        <v>0</v>
      </c>
    </row>
    <row r="485">
      <c r="AD485">
        <f>IF(AND(ISNUMBER(Movimenti!$A467),Movimenti!$L467&lt;&gt;""),Movimenti!$A467,$B$32)</f>
        <v>45596.0</v>
      </c>
      <c r="AE485">
        <f>IF(Movimenti!$L467="",0,N(Movimenti!$L467))</f>
        <v>0</v>
      </c>
    </row>
    <row r="486">
      <c r="AD486">
        <f>IF(AND(ISNUMBER(Movimenti!$A468),Movimenti!$L468&lt;&gt;""),Movimenti!$A468,$B$32)</f>
        <v>45596.0</v>
      </c>
      <c r="AE486">
        <f>IF(Movimenti!$L468="",0,N(Movimenti!$L468))</f>
        <v>0</v>
      </c>
    </row>
    <row r="487">
      <c r="AD487">
        <f>IF(AND(ISNUMBER(Movimenti!$A469),Movimenti!$L469&lt;&gt;""),Movimenti!$A469,$B$32)</f>
        <v>45596.0</v>
      </c>
      <c r="AE487">
        <f>IF(Movimenti!$L469="",0,N(Movimenti!$L469))</f>
        <v>0</v>
      </c>
    </row>
    <row r="488">
      <c r="AD488">
        <f>IF(AND(ISNUMBER(Movimenti!$A470),Movimenti!$L470&lt;&gt;""),Movimenti!$A470,$B$32)</f>
        <v>45596.0</v>
      </c>
      <c r="AE488">
        <f>IF(Movimenti!$L470="",0,N(Movimenti!$L470))</f>
        <v>0</v>
      </c>
    </row>
    <row r="489">
      <c r="AD489">
        <f>IF(AND(ISNUMBER(Movimenti!$A471),Movimenti!$L471&lt;&gt;""),Movimenti!$A471,$B$32)</f>
        <v>45596.0</v>
      </c>
      <c r="AE489">
        <f>IF(Movimenti!$L471="",0,N(Movimenti!$L471))</f>
        <v>0</v>
      </c>
    </row>
    <row r="490">
      <c r="AD490">
        <f>IF(AND(ISNUMBER(Movimenti!$A472),Movimenti!$L472&lt;&gt;""),Movimenti!$A472,$B$32)</f>
        <v>45596.0</v>
      </c>
      <c r="AE490">
        <f>IF(Movimenti!$L472="",0,N(Movimenti!$L472))</f>
        <v>0</v>
      </c>
    </row>
    <row r="491">
      <c r="AD491">
        <f>IF(AND(ISNUMBER(Movimenti!$A473),Movimenti!$L473&lt;&gt;""),Movimenti!$A473,$B$32)</f>
        <v>45596.0</v>
      </c>
      <c r="AE491">
        <f>IF(Movimenti!$L473="",0,N(Movimenti!$L473))</f>
        <v>0</v>
      </c>
    </row>
    <row r="492">
      <c r="AD492">
        <f>IF(AND(ISNUMBER(Movimenti!$A474),Movimenti!$L474&lt;&gt;""),Movimenti!$A474,$B$32)</f>
        <v>45596.0</v>
      </c>
      <c r="AE492">
        <f>IF(Movimenti!$L474="",0,N(Movimenti!$L474))</f>
        <v>0</v>
      </c>
    </row>
    <row r="493">
      <c r="AD493">
        <f>IF(AND(ISNUMBER(Movimenti!$A475),Movimenti!$L475&lt;&gt;""),Movimenti!$A475,$B$32)</f>
        <v>45596.0</v>
      </c>
      <c r="AE493">
        <f>IF(Movimenti!$L475="",0,N(Movimenti!$L475))</f>
        <v>0</v>
      </c>
    </row>
    <row r="494">
      <c r="AD494">
        <f>IF(AND(ISNUMBER(Movimenti!$A476),Movimenti!$L476&lt;&gt;""),Movimenti!$A476,$B$32)</f>
        <v>45596.0</v>
      </c>
      <c r="AE494">
        <f>IF(Movimenti!$L476="",0,N(Movimenti!$L476))</f>
        <v>0</v>
      </c>
    </row>
    <row r="495">
      <c r="AD495">
        <f>IF(AND(ISNUMBER(Movimenti!$A477),Movimenti!$L477&lt;&gt;""),Movimenti!$A477,$B$32)</f>
        <v>45596.0</v>
      </c>
      <c r="AE495">
        <f>IF(Movimenti!$L477="",0,N(Movimenti!$L477))</f>
        <v>0</v>
      </c>
    </row>
    <row r="496">
      <c r="AD496">
        <f>IF(AND(ISNUMBER(Movimenti!$A478),Movimenti!$L478&lt;&gt;""),Movimenti!$A478,$B$32)</f>
        <v>45596.0</v>
      </c>
      <c r="AE496">
        <f>IF(Movimenti!$L478="",0,N(Movimenti!$L478))</f>
        <v>0</v>
      </c>
    </row>
    <row r="497">
      <c r="AD497">
        <f>IF(AND(ISNUMBER(Movimenti!$A479),Movimenti!$L479&lt;&gt;""),Movimenti!$A479,$B$32)</f>
        <v>45596.0</v>
      </c>
      <c r="AE497">
        <f>IF(Movimenti!$L479="",0,N(Movimenti!$L479))</f>
        <v>0</v>
      </c>
    </row>
    <row r="498">
      <c r="AD498">
        <f>IF(AND(ISNUMBER(Movimenti!$A480),Movimenti!$L480&lt;&gt;""),Movimenti!$A480,$B$32)</f>
        <v>45596.0</v>
      </c>
      <c r="AE498">
        <f>IF(Movimenti!$L480="",0,N(Movimenti!$L480))</f>
        <v>0</v>
      </c>
    </row>
    <row r="499">
      <c r="AD499">
        <f>IF(AND(ISNUMBER(Movimenti!$A481),Movimenti!$L481&lt;&gt;""),Movimenti!$A481,$B$32)</f>
        <v>45596.0</v>
      </c>
      <c r="AE499">
        <f>IF(Movimenti!$L481="",0,N(Movimenti!$L481))</f>
        <v>0</v>
      </c>
    </row>
    <row r="500">
      <c r="AD500">
        <f>IF(AND(ISNUMBER(Movimenti!$A482),Movimenti!$L482&lt;&gt;""),Movimenti!$A482,$B$32)</f>
        <v>45596.0</v>
      </c>
      <c r="AE500">
        <f>IF(Movimenti!$L482="",0,N(Movimenti!$L482))</f>
        <v>0</v>
      </c>
    </row>
    <row r="501">
      <c r="AD501">
        <f>IF(AND(ISNUMBER(Movimenti!$A483),Movimenti!$L483&lt;&gt;""),Movimenti!$A483,$B$32)</f>
        <v>45596.0</v>
      </c>
      <c r="AE501">
        <f>IF(Movimenti!$L483="",0,N(Movimenti!$L483))</f>
        <v>0</v>
      </c>
    </row>
    <row r="502">
      <c r="AD502">
        <f>IF(AND(ISNUMBER(Movimenti!$A484),Movimenti!$L484&lt;&gt;""),Movimenti!$A484,$B$32)</f>
        <v>45596.0</v>
      </c>
      <c r="AE502">
        <f>IF(Movimenti!$L484="",0,N(Movimenti!$L484))</f>
        <v>0</v>
      </c>
    </row>
    <row r="503">
      <c r="AD503">
        <f>IF(AND(ISNUMBER(Movimenti!$A485),Movimenti!$L485&lt;&gt;""),Movimenti!$A485,$B$32)</f>
        <v>45596.0</v>
      </c>
      <c r="AE503">
        <f>IF(Movimenti!$L485="",0,N(Movimenti!$L485))</f>
        <v>0</v>
      </c>
    </row>
    <row r="504">
      <c r="AD504">
        <f>IF(AND(ISNUMBER(Movimenti!$A486),Movimenti!$L486&lt;&gt;""),Movimenti!$A486,$B$32)</f>
        <v>45596.0</v>
      </c>
      <c r="AE504">
        <f>IF(Movimenti!$L486="",0,N(Movimenti!$L486))</f>
        <v>0</v>
      </c>
    </row>
    <row r="505">
      <c r="AD505">
        <f>IF(AND(ISNUMBER(Movimenti!$A487),Movimenti!$L487&lt;&gt;""),Movimenti!$A487,$B$32)</f>
        <v>45596.0</v>
      </c>
      <c r="AE505">
        <f>IF(Movimenti!$L487="",0,N(Movimenti!$L487))</f>
        <v>0</v>
      </c>
    </row>
    <row r="506">
      <c r="AD506">
        <f>IF(AND(ISNUMBER(Movimenti!$A488),Movimenti!$L488&lt;&gt;""),Movimenti!$A488,$B$32)</f>
        <v>45596.0</v>
      </c>
      <c r="AE506">
        <f>IF(Movimenti!$L488="",0,N(Movimenti!$L488))</f>
        <v>0</v>
      </c>
    </row>
    <row r="507">
      <c r="AD507">
        <f>IF(AND(ISNUMBER(Movimenti!$A489),Movimenti!$L489&lt;&gt;""),Movimenti!$A489,$B$32)</f>
        <v>45596.0</v>
      </c>
      <c r="AE507">
        <f>IF(Movimenti!$L489="",0,N(Movimenti!$L489))</f>
        <v>0</v>
      </c>
    </row>
    <row r="508">
      <c r="AD508">
        <f>IF(AND(ISNUMBER(Movimenti!$A490),Movimenti!$L490&lt;&gt;""),Movimenti!$A490,$B$32)</f>
        <v>45596.0</v>
      </c>
      <c r="AE508">
        <f>IF(Movimenti!$L490="",0,N(Movimenti!$L490))</f>
        <v>0</v>
      </c>
    </row>
    <row r="509">
      <c r="AD509">
        <f>IF(AND(ISNUMBER(Movimenti!$A491),Movimenti!$L491&lt;&gt;""),Movimenti!$A491,$B$32)</f>
        <v>45596.0</v>
      </c>
      <c r="AE509">
        <f>IF(Movimenti!$L491="",0,N(Movimenti!$L491))</f>
        <v>0</v>
      </c>
    </row>
    <row r="510">
      <c r="AD510">
        <f>IF(AND(ISNUMBER(Movimenti!$A492),Movimenti!$L492&lt;&gt;""),Movimenti!$A492,$B$32)</f>
        <v>45596.0</v>
      </c>
      <c r="AE510">
        <f>IF(Movimenti!$L492="",0,N(Movimenti!$L492))</f>
        <v>0</v>
      </c>
    </row>
    <row r="511">
      <c r="AD511">
        <f>IF(AND(ISNUMBER(Movimenti!$A493),Movimenti!$L493&lt;&gt;""),Movimenti!$A493,$B$32)</f>
        <v>45596.0</v>
      </c>
      <c r="AE511">
        <f>IF(Movimenti!$L493="",0,N(Movimenti!$L493))</f>
        <v>0</v>
      </c>
    </row>
    <row r="512">
      <c r="AD512">
        <f>IF(AND(ISNUMBER(Movimenti!$A494),Movimenti!$L494&lt;&gt;""),Movimenti!$A494,$B$32)</f>
        <v>45596.0</v>
      </c>
      <c r="AE512">
        <f>IF(Movimenti!$L494="",0,N(Movimenti!$L494))</f>
        <v>0</v>
      </c>
    </row>
    <row r="513">
      <c r="AD513">
        <f>IF(AND(ISNUMBER(Movimenti!$A495),Movimenti!$L495&lt;&gt;""),Movimenti!$A495,$B$32)</f>
        <v>45596.0</v>
      </c>
      <c r="AE513">
        <f>IF(Movimenti!$L495="",0,N(Movimenti!$L495))</f>
        <v>0</v>
      </c>
    </row>
    <row r="514">
      <c r="AD514">
        <f>IF(AND(ISNUMBER(Movimenti!$A496),Movimenti!$L496&lt;&gt;""),Movimenti!$A496,$B$32)</f>
        <v>45596.0</v>
      </c>
      <c r="AE514">
        <f>IF(Movimenti!$L496="",0,N(Movimenti!$L496))</f>
        <v>0</v>
      </c>
    </row>
    <row r="515">
      <c r="AD515">
        <f>IF(AND(ISNUMBER(Movimenti!$A497),Movimenti!$L497&lt;&gt;""),Movimenti!$A497,$B$32)</f>
        <v>45596.0</v>
      </c>
      <c r="AE515">
        <f>IF(Movimenti!$L497="",0,N(Movimenti!$L497))</f>
        <v>0</v>
      </c>
    </row>
    <row r="516">
      <c r="AD516">
        <f>IF(AND(ISNUMBER(Movimenti!$A498),Movimenti!$L498&lt;&gt;""),Movimenti!$A498,$B$32)</f>
        <v>45596.0</v>
      </c>
      <c r="AE516">
        <f>IF(Movimenti!$L498="",0,N(Movimenti!$L498))</f>
        <v>0</v>
      </c>
    </row>
    <row r="517">
      <c r="AD517">
        <f>IF(AND(ISNUMBER(Movimenti!$A499),Movimenti!$L499&lt;&gt;""),Movimenti!$A499,$B$32)</f>
        <v>45596.0</v>
      </c>
      <c r="AE517">
        <f>IF(Movimenti!$L499="",0,N(Movimenti!$L499))</f>
        <v>0</v>
      </c>
    </row>
    <row r="518">
      <c r="AD518">
        <f>IF(AND(ISNUMBER(Movimenti!$A500),Movimenti!$L500&lt;&gt;""),Movimenti!$A500,$B$32)</f>
        <v>45596.0</v>
      </c>
      <c r="AE518">
        <f>IF(Movimenti!$L500="",0,N(Movimenti!$L500))</f>
        <v>0</v>
      </c>
    </row>
    <row r="519">
      <c r="AD519">
        <f>IF(AND(ISNUMBER(Movimenti!$A501),Movimenti!$L501&lt;&gt;""),Movimenti!$A501,$B$32)</f>
        <v>45596.0</v>
      </c>
      <c r="AE519">
        <f>IF(Movimenti!$L501="",0,N(Movimenti!$L501))</f>
        <v>0</v>
      </c>
    </row>
    <row r="520">
      <c r="AD520">
        <f>IF(AND(ISNUMBER(Movimenti!$A502),Movimenti!$L502&lt;&gt;""),Movimenti!$A502,$B$32)</f>
        <v>45596.0</v>
      </c>
      <c r="AE520">
        <f>IF(Movimenti!$L502="",0,N(Movimenti!$L502))</f>
        <v>0</v>
      </c>
    </row>
    <row r="521">
      <c r="AD521">
        <f>IF(AND(ISNUMBER(Movimenti!$A503),Movimenti!$L503&lt;&gt;""),Movimenti!$A503,$B$32)</f>
        <v>45596.0</v>
      </c>
      <c r="AE521">
        <f>IF(Movimenti!$L503="",0,N(Movimenti!$L503))</f>
        <v>0</v>
      </c>
    </row>
    <row r="522">
      <c r="AD522">
        <f>IF(AND(ISNUMBER(Movimenti!$A504),Movimenti!$L504&lt;&gt;""),Movimenti!$A504,$B$32)</f>
        <v>45596.0</v>
      </c>
      <c r="AE522">
        <f>IF(Movimenti!$L504="",0,N(Movimenti!$L504))</f>
        <v>0</v>
      </c>
    </row>
    <row r="523">
      <c r="AD523">
        <f>IF(AND(ISNUMBER(Movimenti!$A505),Movimenti!$L505&lt;&gt;""),Movimenti!$A505,$B$32)</f>
        <v>45596.0</v>
      </c>
      <c r="AE523">
        <f>IF(Movimenti!$L505="",0,N(Movimenti!$L505))</f>
        <v>0</v>
      </c>
    </row>
    <row r="524">
      <c r="AD524">
        <f>IF(AND(ISNUMBER(Movimenti!$A506),Movimenti!$L506&lt;&gt;""),Movimenti!$A506,$B$32)</f>
        <v>45596.0</v>
      </c>
      <c r="AE524">
        <f>IF(Movimenti!$L506="",0,N(Movimenti!$L506))</f>
        <v>0</v>
      </c>
    </row>
    <row r="525">
      <c r="AD525">
        <f>IF(AND(ISNUMBER(Movimenti!$A507),Movimenti!$L507&lt;&gt;""),Movimenti!$A507,$B$32)</f>
        <v>45596.0</v>
      </c>
      <c r="AE525">
        <f>IF(Movimenti!$L507="",0,N(Movimenti!$L507))</f>
        <v>0</v>
      </c>
    </row>
    <row r="526">
      <c r="AD526">
        <f>IF(AND(ISNUMBER(Movimenti!$A508),Movimenti!$L508&lt;&gt;""),Movimenti!$A508,$B$32)</f>
        <v>45596.0</v>
      </c>
      <c r="AE526">
        <f>IF(Movimenti!$L508="",0,N(Movimenti!$L508))</f>
        <v>0</v>
      </c>
    </row>
    <row r="527">
      <c r="AD527">
        <f>IF(AND(ISNUMBER(Movimenti!$A509),Movimenti!$L509&lt;&gt;""),Movimenti!$A509,$B$32)</f>
        <v>45596.0</v>
      </c>
      <c r="AE527">
        <f>IF(Movimenti!$L509="",0,N(Movimenti!$L509))</f>
        <v>0</v>
      </c>
    </row>
    <row r="528">
      <c r="AD528">
        <f>IF(AND(ISNUMBER(Movimenti!$A510),Movimenti!$L510&lt;&gt;""),Movimenti!$A510,$B$32)</f>
        <v>45596.0</v>
      </c>
      <c r="AE528">
        <f>IF(Movimenti!$L510="",0,N(Movimenti!$L510))</f>
        <v>0</v>
      </c>
    </row>
    <row r="529">
      <c r="AD529">
        <f>IF(AND(ISNUMBER(Movimenti!$A511),Movimenti!$L511&lt;&gt;""),Movimenti!$A511,$B$32)</f>
        <v>45596.0</v>
      </c>
      <c r="AE529">
        <f>IF(Movimenti!$L511="",0,N(Movimenti!$L511))</f>
        <v>0</v>
      </c>
    </row>
    <row r="530">
      <c r="AD530">
        <f>IF(AND(ISNUMBER(Movimenti!$A512),Movimenti!$L512&lt;&gt;""),Movimenti!$A512,$B$32)</f>
        <v>45596.0</v>
      </c>
      <c r="AE530">
        <f>IF(Movimenti!$L512="",0,N(Movimenti!$L512))</f>
        <v>0</v>
      </c>
    </row>
    <row r="531">
      <c r="AD531">
        <f>IF(AND(ISNUMBER(Movimenti!$A513),Movimenti!$L513&lt;&gt;""),Movimenti!$A513,$B$32)</f>
        <v>45596.0</v>
      </c>
      <c r="AE531">
        <f>IF(Movimenti!$L513="",0,N(Movimenti!$L513))</f>
        <v>0</v>
      </c>
    </row>
    <row r="532">
      <c r="AD532">
        <f>IF(AND(ISNUMBER(Movimenti!$A514),Movimenti!$L514&lt;&gt;""),Movimenti!$A514,$B$32)</f>
        <v>45596.0</v>
      </c>
      <c r="AE532">
        <f>IF(Movimenti!$L514="",0,N(Movimenti!$L514))</f>
        <v>0</v>
      </c>
    </row>
    <row r="533">
      <c r="AD533">
        <f>IF(AND(ISNUMBER(Movimenti!$A515),Movimenti!$L515&lt;&gt;""),Movimenti!$A515,$B$32)</f>
        <v>45596.0</v>
      </c>
      <c r="AE533">
        <f>IF(Movimenti!$L515="",0,N(Movimenti!$L515))</f>
        <v>0</v>
      </c>
    </row>
    <row r="534">
      <c r="AD534">
        <f>IF(AND(ISNUMBER(Movimenti!$A516),Movimenti!$L516&lt;&gt;""),Movimenti!$A516,$B$32)</f>
        <v>45596.0</v>
      </c>
      <c r="AE534">
        <f>IF(Movimenti!$L516="",0,N(Movimenti!$L516))</f>
        <v>0</v>
      </c>
    </row>
    <row r="535">
      <c r="AD535">
        <f>IF(AND(ISNUMBER(Movimenti!$A517),Movimenti!$L517&lt;&gt;""),Movimenti!$A517,$B$32)</f>
        <v>45596.0</v>
      </c>
      <c r="AE535">
        <f>IF(Movimenti!$L517="",0,N(Movimenti!$L517))</f>
        <v>0</v>
      </c>
    </row>
    <row r="536">
      <c r="AD536">
        <f>IF(AND(ISNUMBER(Movimenti!$A518),Movimenti!$L518&lt;&gt;""),Movimenti!$A518,$B$32)</f>
        <v>45596.0</v>
      </c>
      <c r="AE536">
        <f>IF(Movimenti!$L518="",0,N(Movimenti!$L518))</f>
        <v>0</v>
      </c>
    </row>
    <row r="537">
      <c r="AD537">
        <f>IF(AND(ISNUMBER(Movimenti!$A519),Movimenti!$L519&lt;&gt;""),Movimenti!$A519,$B$32)</f>
        <v>45596.0</v>
      </c>
      <c r="AE537">
        <f>IF(Movimenti!$L519="",0,N(Movimenti!$L519))</f>
        <v>0</v>
      </c>
    </row>
    <row r="538">
      <c r="AD538">
        <f>IF(AND(ISNUMBER(Movimenti!$A520),Movimenti!$L520&lt;&gt;""),Movimenti!$A520,$B$32)</f>
        <v>45596.0</v>
      </c>
      <c r="AE538">
        <f>IF(Movimenti!$L520="",0,N(Movimenti!$L520))</f>
        <v>0</v>
      </c>
    </row>
    <row r="539">
      <c r="AD539">
        <f>IF(AND(ISNUMBER(Movimenti!$A521),Movimenti!$L521&lt;&gt;""),Movimenti!$A521,$B$32)</f>
        <v>45596.0</v>
      </c>
      <c r="AE539">
        <f>IF(Movimenti!$L521="",0,N(Movimenti!$L521))</f>
        <v>0</v>
      </c>
    </row>
    <row r="540">
      <c r="AD540">
        <f>IF(AND(ISNUMBER(Movimenti!$A522),Movimenti!$L522&lt;&gt;""),Movimenti!$A522,$B$32)</f>
        <v>45596.0</v>
      </c>
      <c r="AE540">
        <f>IF(Movimenti!$L522="",0,N(Movimenti!$L522))</f>
        <v>0</v>
      </c>
    </row>
    <row r="541">
      <c r="AD541">
        <f>IF(AND(ISNUMBER(Movimenti!$A523),Movimenti!$L523&lt;&gt;""),Movimenti!$A523,$B$32)</f>
        <v>45596.0</v>
      </c>
      <c r="AE541">
        <f>IF(Movimenti!$L523="",0,N(Movimenti!$L523))</f>
        <v>0</v>
      </c>
    </row>
    <row r="542">
      <c r="AD542">
        <f>IF(AND(ISNUMBER(Movimenti!$A524),Movimenti!$L524&lt;&gt;""),Movimenti!$A524,$B$32)</f>
        <v>45596.0</v>
      </c>
      <c r="AE542">
        <f>IF(Movimenti!$L524="",0,N(Movimenti!$L524))</f>
        <v>0</v>
      </c>
    </row>
    <row r="543">
      <c r="AD543">
        <f>IF(AND(ISNUMBER(Movimenti!$A525),Movimenti!$L525&lt;&gt;""),Movimenti!$A525,$B$32)</f>
        <v>45596.0</v>
      </c>
      <c r="AE543">
        <f>IF(Movimenti!$L525="",0,N(Movimenti!$L525))</f>
        <v>0</v>
      </c>
    </row>
    <row r="544">
      <c r="AD544">
        <f>IF(AND(ISNUMBER(Movimenti!$A526),Movimenti!$L526&lt;&gt;""),Movimenti!$A526,$B$32)</f>
        <v>45596.0</v>
      </c>
      <c r="AE544">
        <f>IF(Movimenti!$L526="",0,N(Movimenti!$L526))</f>
        <v>0</v>
      </c>
    </row>
    <row r="545">
      <c r="AD545">
        <f>IF(AND(ISNUMBER(Movimenti!$A527),Movimenti!$L527&lt;&gt;""),Movimenti!$A527,$B$32)</f>
        <v>45596.0</v>
      </c>
      <c r="AE545">
        <f>IF(Movimenti!$L527="",0,N(Movimenti!$L527))</f>
        <v>0</v>
      </c>
    </row>
    <row r="546">
      <c r="AD546">
        <f>IF(AND(ISNUMBER(Movimenti!$A528),Movimenti!$L528&lt;&gt;""),Movimenti!$A528,$B$32)</f>
        <v>45596.0</v>
      </c>
      <c r="AE546">
        <f>IF(Movimenti!$L528="",0,N(Movimenti!$L528))</f>
        <v>0</v>
      </c>
    </row>
    <row r="547">
      <c r="AD547">
        <f>IF(AND(ISNUMBER(Movimenti!$A529),Movimenti!$L529&lt;&gt;""),Movimenti!$A529,$B$32)</f>
        <v>45596.0</v>
      </c>
      <c r="AE547">
        <f>IF(Movimenti!$L529="",0,N(Movimenti!$L529))</f>
        <v>0</v>
      </c>
    </row>
    <row r="548">
      <c r="AD548">
        <f>IF(AND(ISNUMBER(Movimenti!$A530),Movimenti!$L530&lt;&gt;""),Movimenti!$A530,$B$32)</f>
        <v>45596.0</v>
      </c>
      <c r="AE548">
        <f>IF(Movimenti!$L530="",0,N(Movimenti!$L530))</f>
        <v>0</v>
      </c>
    </row>
    <row r="549">
      <c r="AD549">
        <f>IF(AND(ISNUMBER(Movimenti!$A531),Movimenti!$L531&lt;&gt;""),Movimenti!$A531,$B$32)</f>
        <v>45596.0</v>
      </c>
      <c r="AE549">
        <f>IF(Movimenti!$L531="",0,N(Movimenti!$L531))</f>
        <v>0</v>
      </c>
    </row>
    <row r="550">
      <c r="AD550">
        <f>IF(AND(ISNUMBER(Movimenti!$A532),Movimenti!$L532&lt;&gt;""),Movimenti!$A532,$B$32)</f>
        <v>45596.0</v>
      </c>
      <c r="AE550">
        <f>IF(Movimenti!$L532="",0,N(Movimenti!$L532))</f>
        <v>0</v>
      </c>
    </row>
    <row r="551">
      <c r="AD551">
        <f>IF(AND(ISNUMBER(Movimenti!$A533),Movimenti!$L533&lt;&gt;""),Movimenti!$A533,$B$32)</f>
        <v>45596.0</v>
      </c>
      <c r="AE551">
        <f>IF(Movimenti!$L533="",0,N(Movimenti!$L533))</f>
        <v>0</v>
      </c>
    </row>
    <row r="552">
      <c r="AD552">
        <f>IF(AND(ISNUMBER(Movimenti!$A534),Movimenti!$L534&lt;&gt;""),Movimenti!$A534,$B$32)</f>
        <v>45596.0</v>
      </c>
      <c r="AE552">
        <f>IF(Movimenti!$L534="",0,N(Movimenti!$L534))</f>
        <v>0</v>
      </c>
    </row>
    <row r="553">
      <c r="AD553">
        <f>IF(AND(ISNUMBER(Movimenti!$A535),Movimenti!$L535&lt;&gt;""),Movimenti!$A535,$B$32)</f>
        <v>45596.0</v>
      </c>
      <c r="AE553">
        <f>IF(Movimenti!$L535="",0,N(Movimenti!$L535))</f>
        <v>0</v>
      </c>
    </row>
    <row r="554">
      <c r="AD554">
        <f>IF(AND(ISNUMBER(Movimenti!$A536),Movimenti!$L536&lt;&gt;""),Movimenti!$A536,$B$32)</f>
        <v>45596.0</v>
      </c>
      <c r="AE554">
        <f>IF(Movimenti!$L536="",0,N(Movimenti!$L536))</f>
        <v>0</v>
      </c>
    </row>
    <row r="555">
      <c r="AD555">
        <f>IF(AND(ISNUMBER(Movimenti!$A537),Movimenti!$L537&lt;&gt;""),Movimenti!$A537,$B$32)</f>
        <v>45596.0</v>
      </c>
      <c r="AE555">
        <f>IF(Movimenti!$L537="",0,N(Movimenti!$L537))</f>
        <v>0</v>
      </c>
    </row>
    <row r="556">
      <c r="AD556">
        <f>IF(AND(ISNUMBER(Movimenti!$A538),Movimenti!$L538&lt;&gt;""),Movimenti!$A538,$B$32)</f>
        <v>45596.0</v>
      </c>
      <c r="AE556">
        <f>IF(Movimenti!$L538="",0,N(Movimenti!$L538))</f>
        <v>0</v>
      </c>
    </row>
    <row r="557">
      <c r="AD557">
        <f>IF(AND(ISNUMBER(Movimenti!$A539),Movimenti!$L539&lt;&gt;""),Movimenti!$A539,$B$32)</f>
        <v>45596.0</v>
      </c>
      <c r="AE557">
        <f>IF(Movimenti!$L539="",0,N(Movimenti!$L539))</f>
        <v>0</v>
      </c>
    </row>
    <row r="558">
      <c r="AD558">
        <f>IF(AND(ISNUMBER(Movimenti!$A540),Movimenti!$L540&lt;&gt;""),Movimenti!$A540,$B$32)</f>
        <v>45596.0</v>
      </c>
      <c r="AE558">
        <f>IF(Movimenti!$L540="",0,N(Movimenti!$L540))</f>
        <v>0</v>
      </c>
    </row>
    <row r="559">
      <c r="AD559">
        <f>IF(AND(ISNUMBER(Movimenti!$A541),Movimenti!$L541&lt;&gt;""),Movimenti!$A541,$B$32)</f>
        <v>45596.0</v>
      </c>
      <c r="AE559">
        <f>IF(Movimenti!$L541="",0,N(Movimenti!$L541))</f>
        <v>0</v>
      </c>
    </row>
    <row r="560">
      <c r="AD560">
        <f>IF(AND(ISNUMBER(Movimenti!$A542),Movimenti!$L542&lt;&gt;""),Movimenti!$A542,$B$32)</f>
        <v>45596.0</v>
      </c>
      <c r="AE560">
        <f>IF(Movimenti!$L542="",0,N(Movimenti!$L542))</f>
        <v>0</v>
      </c>
    </row>
    <row r="561">
      <c r="AD561">
        <f>IF(AND(ISNUMBER(Movimenti!$A543),Movimenti!$L543&lt;&gt;""),Movimenti!$A543,$B$32)</f>
        <v>45596.0</v>
      </c>
      <c r="AE561">
        <f>IF(Movimenti!$L543="",0,N(Movimenti!$L543))</f>
        <v>0</v>
      </c>
    </row>
    <row r="562">
      <c r="AD562">
        <f>IF(AND(ISNUMBER(Movimenti!$A544),Movimenti!$L544&lt;&gt;""),Movimenti!$A544,$B$32)</f>
        <v>45596.0</v>
      </c>
      <c r="AE562">
        <f>IF(Movimenti!$L544="",0,N(Movimenti!$L544))</f>
        <v>0</v>
      </c>
    </row>
    <row r="563">
      <c r="AD563">
        <f>IF(AND(ISNUMBER(Movimenti!$A545),Movimenti!$L545&lt;&gt;""),Movimenti!$A545,$B$32)</f>
        <v>45596.0</v>
      </c>
      <c r="AE563">
        <f>IF(Movimenti!$L545="",0,N(Movimenti!$L545))</f>
        <v>0</v>
      </c>
    </row>
    <row r="564">
      <c r="AD564">
        <f>IF(AND(ISNUMBER(Movimenti!$A546),Movimenti!$L546&lt;&gt;""),Movimenti!$A546,$B$32)</f>
        <v>45596.0</v>
      </c>
      <c r="AE564">
        <f>IF(Movimenti!$L546="",0,N(Movimenti!$L546))</f>
        <v>0</v>
      </c>
    </row>
    <row r="565">
      <c r="AD565">
        <f>IF(AND(ISNUMBER(Movimenti!$A547),Movimenti!$L547&lt;&gt;""),Movimenti!$A547,$B$32)</f>
        <v>45596.0</v>
      </c>
      <c r="AE565">
        <f>IF(Movimenti!$L547="",0,N(Movimenti!$L547))</f>
        <v>0</v>
      </c>
    </row>
    <row r="566">
      <c r="AD566">
        <f>IF(AND(ISNUMBER(Movimenti!$A548),Movimenti!$L548&lt;&gt;""),Movimenti!$A548,$B$32)</f>
        <v>45596.0</v>
      </c>
      <c r="AE566">
        <f>IF(Movimenti!$L548="",0,N(Movimenti!$L548))</f>
        <v>0</v>
      </c>
    </row>
    <row r="567">
      <c r="AD567">
        <f>IF(AND(ISNUMBER(Movimenti!$A549),Movimenti!$L549&lt;&gt;""),Movimenti!$A549,$B$32)</f>
        <v>45596.0</v>
      </c>
      <c r="AE567">
        <f>IF(Movimenti!$L549="",0,N(Movimenti!$L549))</f>
        <v>0</v>
      </c>
    </row>
    <row r="568">
      <c r="AD568">
        <f>IF(AND(ISNUMBER(Movimenti!$A550),Movimenti!$L550&lt;&gt;""),Movimenti!$A550,$B$32)</f>
        <v>45596.0</v>
      </c>
      <c r="AE568">
        <f>IF(Movimenti!$L550="",0,N(Movimenti!$L550))</f>
        <v>0</v>
      </c>
    </row>
    <row r="569">
      <c r="AD569">
        <f>IF(AND(ISNUMBER(Movimenti!$A551),Movimenti!$L551&lt;&gt;""),Movimenti!$A551,$B$32)</f>
        <v>45596.0</v>
      </c>
      <c r="AE569">
        <f>IF(Movimenti!$L551="",0,N(Movimenti!$L551))</f>
        <v>0</v>
      </c>
    </row>
    <row r="570">
      <c r="AD570">
        <f>IF(AND(ISNUMBER(Movimenti!$A552),Movimenti!$L552&lt;&gt;""),Movimenti!$A552,$B$32)</f>
        <v>45596.0</v>
      </c>
      <c r="AE570">
        <f>IF(Movimenti!$L552="",0,N(Movimenti!$L552))</f>
        <v>0</v>
      </c>
    </row>
    <row r="571">
      <c r="AD571">
        <f>IF(AND(ISNUMBER(Movimenti!$A553),Movimenti!$L553&lt;&gt;""),Movimenti!$A553,$B$32)</f>
        <v>45596.0</v>
      </c>
      <c r="AE571">
        <f>IF(Movimenti!$L553="",0,N(Movimenti!$L553))</f>
        <v>0</v>
      </c>
    </row>
    <row r="572">
      <c r="AD572">
        <f>IF(AND(ISNUMBER(Movimenti!$A554),Movimenti!$L554&lt;&gt;""),Movimenti!$A554,$B$32)</f>
        <v>45596.0</v>
      </c>
      <c r="AE572">
        <f>IF(Movimenti!$L554="",0,N(Movimenti!$L554))</f>
        <v>0</v>
      </c>
    </row>
    <row r="573">
      <c r="AD573">
        <f>IF(AND(ISNUMBER(Movimenti!$A555),Movimenti!$L555&lt;&gt;""),Movimenti!$A555,$B$32)</f>
        <v>45596.0</v>
      </c>
      <c r="AE573">
        <f>IF(Movimenti!$L555="",0,N(Movimenti!$L555))</f>
        <v>0</v>
      </c>
    </row>
    <row r="574">
      <c r="AD574">
        <f>IF(AND(ISNUMBER(Movimenti!$A556),Movimenti!$L556&lt;&gt;""),Movimenti!$A556,$B$32)</f>
        <v>45596.0</v>
      </c>
      <c r="AE574">
        <f>IF(Movimenti!$L556="",0,N(Movimenti!$L556))</f>
        <v>0</v>
      </c>
    </row>
    <row r="575">
      <c r="AD575">
        <f>IF(AND(ISNUMBER(Movimenti!$A557),Movimenti!$L557&lt;&gt;""),Movimenti!$A557,$B$32)</f>
        <v>45596.0</v>
      </c>
      <c r="AE575">
        <f>IF(Movimenti!$L557="",0,N(Movimenti!$L557))</f>
        <v>0</v>
      </c>
    </row>
    <row r="576">
      <c r="AD576">
        <f>IF(AND(ISNUMBER(Movimenti!$A558),Movimenti!$L558&lt;&gt;""),Movimenti!$A558,$B$32)</f>
        <v>45596.0</v>
      </c>
      <c r="AE576">
        <f>IF(Movimenti!$L558="",0,N(Movimenti!$L558))</f>
        <v>0</v>
      </c>
    </row>
    <row r="577">
      <c r="AD577">
        <f>IF(AND(ISNUMBER(Movimenti!$A559),Movimenti!$L559&lt;&gt;""),Movimenti!$A559,$B$32)</f>
        <v>45596.0</v>
      </c>
      <c r="AE577">
        <f>IF(Movimenti!$L559="",0,N(Movimenti!$L559))</f>
        <v>0</v>
      </c>
    </row>
    <row r="578">
      <c r="AD578">
        <f>IF(AND(ISNUMBER(Movimenti!$A560),Movimenti!$L560&lt;&gt;""),Movimenti!$A560,$B$32)</f>
        <v>45596.0</v>
      </c>
      <c r="AE578">
        <f>IF(Movimenti!$L560="",0,N(Movimenti!$L560))</f>
        <v>0</v>
      </c>
    </row>
    <row r="579">
      <c r="AD579">
        <f>IF(AND(ISNUMBER(Movimenti!$A561),Movimenti!$L561&lt;&gt;""),Movimenti!$A561,$B$32)</f>
        <v>45596.0</v>
      </c>
      <c r="AE579">
        <f>IF(Movimenti!$L561="",0,N(Movimenti!$L561))</f>
        <v>0</v>
      </c>
    </row>
    <row r="580">
      <c r="AD580">
        <f>IF(AND(ISNUMBER(Movimenti!$A562),Movimenti!$L562&lt;&gt;""),Movimenti!$A562,$B$32)</f>
        <v>45596.0</v>
      </c>
      <c r="AE580">
        <f>IF(Movimenti!$L562="",0,N(Movimenti!$L562))</f>
        <v>0</v>
      </c>
    </row>
    <row r="581">
      <c r="AD581">
        <f>IF(AND(ISNUMBER(Movimenti!$A563),Movimenti!$L563&lt;&gt;""),Movimenti!$A563,$B$32)</f>
        <v>45596.0</v>
      </c>
      <c r="AE581">
        <f>IF(Movimenti!$L563="",0,N(Movimenti!$L563))</f>
        <v>0</v>
      </c>
    </row>
    <row r="582">
      <c r="AD582">
        <f>IF(AND(ISNUMBER(Movimenti!$A564),Movimenti!$L564&lt;&gt;""),Movimenti!$A564,$B$32)</f>
        <v>45596.0</v>
      </c>
      <c r="AE582">
        <f>IF(Movimenti!$L564="",0,N(Movimenti!$L564))</f>
        <v>0</v>
      </c>
    </row>
    <row r="583">
      <c r="AD583">
        <f>IF(AND(ISNUMBER(Movimenti!$A565),Movimenti!$L565&lt;&gt;""),Movimenti!$A565,$B$32)</f>
        <v>45596.0</v>
      </c>
      <c r="AE583">
        <f>IF(Movimenti!$L565="",0,N(Movimenti!$L565))</f>
        <v>0</v>
      </c>
    </row>
    <row r="584">
      <c r="AD584">
        <f>IF(AND(ISNUMBER(Movimenti!$A566),Movimenti!$L566&lt;&gt;""),Movimenti!$A566,$B$32)</f>
        <v>45596.0</v>
      </c>
      <c r="AE584">
        <f>IF(Movimenti!$L566="",0,N(Movimenti!$L566))</f>
        <v>0</v>
      </c>
    </row>
    <row r="585">
      <c r="AD585">
        <f>IF(AND(ISNUMBER(Movimenti!$A567),Movimenti!$L567&lt;&gt;""),Movimenti!$A567,$B$32)</f>
        <v>45596.0</v>
      </c>
      <c r="AE585">
        <f>IF(Movimenti!$L567="",0,N(Movimenti!$L567))</f>
        <v>0</v>
      </c>
    </row>
    <row r="586">
      <c r="AD586">
        <f>IF(AND(ISNUMBER(Movimenti!$A568),Movimenti!$L568&lt;&gt;""),Movimenti!$A568,$B$32)</f>
        <v>45596.0</v>
      </c>
      <c r="AE586">
        <f>IF(Movimenti!$L568="",0,N(Movimenti!$L568))</f>
        <v>0</v>
      </c>
    </row>
    <row r="587">
      <c r="AD587">
        <f>IF(AND(ISNUMBER(Movimenti!$A569),Movimenti!$L569&lt;&gt;""),Movimenti!$A569,$B$32)</f>
        <v>45596.0</v>
      </c>
      <c r="AE587">
        <f>IF(Movimenti!$L569="",0,N(Movimenti!$L569))</f>
        <v>0</v>
      </c>
    </row>
    <row r="588">
      <c r="AD588">
        <f>IF(AND(ISNUMBER(Movimenti!$A570),Movimenti!$L570&lt;&gt;""),Movimenti!$A570,$B$32)</f>
        <v>45596.0</v>
      </c>
      <c r="AE588">
        <f>IF(Movimenti!$L570="",0,N(Movimenti!$L570))</f>
        <v>0</v>
      </c>
    </row>
    <row r="589">
      <c r="AD589">
        <f>IF(AND(ISNUMBER(Movimenti!$A571),Movimenti!$L571&lt;&gt;""),Movimenti!$A571,$B$32)</f>
        <v>45596.0</v>
      </c>
      <c r="AE589">
        <f>IF(Movimenti!$L571="",0,N(Movimenti!$L571))</f>
        <v>0</v>
      </c>
    </row>
    <row r="590">
      <c r="AD590">
        <f>IF(AND(ISNUMBER(Movimenti!$A572),Movimenti!$L572&lt;&gt;""),Movimenti!$A572,$B$32)</f>
        <v>45596.0</v>
      </c>
      <c r="AE590">
        <f>IF(Movimenti!$L572="",0,N(Movimenti!$L572))</f>
        <v>0</v>
      </c>
    </row>
    <row r="591">
      <c r="AD591">
        <f>IF(AND(ISNUMBER(Movimenti!$A573),Movimenti!$L573&lt;&gt;""),Movimenti!$A573,$B$32)</f>
        <v>45596.0</v>
      </c>
      <c r="AE591">
        <f>IF(Movimenti!$L573="",0,N(Movimenti!$L573))</f>
        <v>0</v>
      </c>
    </row>
    <row r="592">
      <c r="AD592">
        <f>IF(AND(ISNUMBER(Movimenti!$A574),Movimenti!$L574&lt;&gt;""),Movimenti!$A574,$B$32)</f>
        <v>45596.0</v>
      </c>
      <c r="AE592">
        <f>IF(Movimenti!$L574="",0,N(Movimenti!$L574))</f>
        <v>0</v>
      </c>
    </row>
    <row r="593">
      <c r="AD593">
        <f>IF(AND(ISNUMBER(Movimenti!$A575),Movimenti!$L575&lt;&gt;""),Movimenti!$A575,$B$32)</f>
        <v>45596.0</v>
      </c>
      <c r="AE593">
        <f>IF(Movimenti!$L575="",0,N(Movimenti!$L575))</f>
        <v>0</v>
      </c>
    </row>
    <row r="594">
      <c r="AD594">
        <f>IF(AND(ISNUMBER(Movimenti!$A576),Movimenti!$L576&lt;&gt;""),Movimenti!$A576,$B$32)</f>
        <v>45596.0</v>
      </c>
      <c r="AE594">
        <f>IF(Movimenti!$L576="",0,N(Movimenti!$L576))</f>
        <v>0</v>
      </c>
    </row>
    <row r="595">
      <c r="AD595">
        <f>IF(AND(ISNUMBER(Movimenti!$A577),Movimenti!$L577&lt;&gt;""),Movimenti!$A577,$B$32)</f>
        <v>45596.0</v>
      </c>
      <c r="AE595">
        <f>IF(Movimenti!$L577="",0,N(Movimenti!$L577))</f>
        <v>0</v>
      </c>
    </row>
    <row r="596">
      <c r="AD596">
        <f>IF(AND(ISNUMBER(Movimenti!$A578),Movimenti!$L578&lt;&gt;""),Movimenti!$A578,$B$32)</f>
        <v>45596.0</v>
      </c>
      <c r="AE596">
        <f>IF(Movimenti!$L578="",0,N(Movimenti!$L578))</f>
        <v>0</v>
      </c>
    </row>
    <row r="597">
      <c r="AD597">
        <f>IF(AND(ISNUMBER(Movimenti!$A579),Movimenti!$L579&lt;&gt;""),Movimenti!$A579,$B$32)</f>
        <v>45596.0</v>
      </c>
      <c r="AE597">
        <f>IF(Movimenti!$L579="",0,N(Movimenti!$L579))</f>
        <v>0</v>
      </c>
    </row>
    <row r="598">
      <c r="AD598">
        <f>IF(AND(ISNUMBER(Movimenti!$A580),Movimenti!$L580&lt;&gt;""),Movimenti!$A580,$B$32)</f>
        <v>45596.0</v>
      </c>
      <c r="AE598">
        <f>IF(Movimenti!$L580="",0,N(Movimenti!$L580))</f>
        <v>0</v>
      </c>
    </row>
    <row r="599">
      <c r="AD599">
        <f>IF(AND(ISNUMBER(Movimenti!$A581),Movimenti!$L581&lt;&gt;""),Movimenti!$A581,$B$32)</f>
        <v>45596.0</v>
      </c>
      <c r="AE599">
        <f>IF(Movimenti!$L581="",0,N(Movimenti!$L581))</f>
        <v>0</v>
      </c>
    </row>
    <row r="600">
      <c r="AD600">
        <f>IF(AND(ISNUMBER(Movimenti!$A582),Movimenti!$L582&lt;&gt;""),Movimenti!$A582,$B$32)</f>
        <v>45596.0</v>
      </c>
      <c r="AE600">
        <f>IF(Movimenti!$L582="",0,N(Movimenti!$L582))</f>
        <v>0</v>
      </c>
    </row>
    <row r="601">
      <c r="AD601">
        <f>IF(AND(ISNUMBER(Movimenti!$A583),Movimenti!$L583&lt;&gt;""),Movimenti!$A583,$B$32)</f>
        <v>45596.0</v>
      </c>
      <c r="AE601">
        <f>IF(Movimenti!$L583="",0,N(Movimenti!$L583))</f>
        <v>0</v>
      </c>
    </row>
    <row r="602">
      <c r="AD602">
        <f>IF(AND(ISNUMBER(Movimenti!$A584),Movimenti!$L584&lt;&gt;""),Movimenti!$A584,$B$32)</f>
        <v>45596.0</v>
      </c>
      <c r="AE602">
        <f>IF(Movimenti!$L584="",0,N(Movimenti!$L584))</f>
        <v>0</v>
      </c>
    </row>
    <row r="603">
      <c r="AD603">
        <f>IF(AND(ISNUMBER(Movimenti!$A585),Movimenti!$L585&lt;&gt;""),Movimenti!$A585,$B$32)</f>
        <v>45596.0</v>
      </c>
      <c r="AE603">
        <f>IF(Movimenti!$L585="",0,N(Movimenti!$L585))</f>
        <v>0</v>
      </c>
    </row>
    <row r="604">
      <c r="AD604">
        <f>IF(AND(ISNUMBER(Movimenti!$A586),Movimenti!$L586&lt;&gt;""),Movimenti!$A586,$B$32)</f>
        <v>45596.0</v>
      </c>
      <c r="AE604">
        <f>IF(Movimenti!$L586="",0,N(Movimenti!$L586))</f>
        <v>0</v>
      </c>
    </row>
    <row r="605">
      <c r="AD605">
        <f>IF(AND(ISNUMBER(Movimenti!$A587),Movimenti!$L587&lt;&gt;""),Movimenti!$A587,$B$32)</f>
        <v>45596.0</v>
      </c>
      <c r="AE605">
        <f>IF(Movimenti!$L587="",0,N(Movimenti!$L587))</f>
        <v>0</v>
      </c>
    </row>
    <row r="606">
      <c r="AD606">
        <f>IF(AND(ISNUMBER(Movimenti!$A588),Movimenti!$L588&lt;&gt;""),Movimenti!$A588,$B$32)</f>
        <v>45596.0</v>
      </c>
      <c r="AE606">
        <f>IF(Movimenti!$L588="",0,N(Movimenti!$L588))</f>
        <v>0</v>
      </c>
    </row>
    <row r="607">
      <c r="AD607">
        <f>IF(AND(ISNUMBER(Movimenti!$A589),Movimenti!$L589&lt;&gt;""),Movimenti!$A589,$B$32)</f>
        <v>45596.0</v>
      </c>
      <c r="AE607">
        <f>IF(Movimenti!$L589="",0,N(Movimenti!$L589))</f>
        <v>0</v>
      </c>
    </row>
    <row r="608">
      <c r="AD608">
        <f>IF(AND(ISNUMBER(Movimenti!$A590),Movimenti!$L590&lt;&gt;""),Movimenti!$A590,$B$32)</f>
        <v>45596.0</v>
      </c>
      <c r="AE608">
        <f>IF(Movimenti!$L590="",0,N(Movimenti!$L590))</f>
        <v>0</v>
      </c>
    </row>
    <row r="609">
      <c r="AD609">
        <f>IF(AND(ISNUMBER(Movimenti!$A591),Movimenti!$L591&lt;&gt;""),Movimenti!$A591,$B$32)</f>
        <v>45596.0</v>
      </c>
      <c r="AE609">
        <f>IF(Movimenti!$L591="",0,N(Movimenti!$L591))</f>
        <v>0</v>
      </c>
    </row>
    <row r="610">
      <c r="AD610">
        <f>IF(AND(ISNUMBER(Movimenti!$A592),Movimenti!$L592&lt;&gt;""),Movimenti!$A592,$B$32)</f>
        <v>45596.0</v>
      </c>
      <c r="AE610">
        <f>IF(Movimenti!$L592="",0,N(Movimenti!$L592))</f>
        <v>0</v>
      </c>
    </row>
    <row r="611">
      <c r="AD611">
        <f>IF(AND(ISNUMBER(Movimenti!$A593),Movimenti!$L593&lt;&gt;""),Movimenti!$A593,$B$32)</f>
        <v>45596.0</v>
      </c>
      <c r="AE611">
        <f>IF(Movimenti!$L593="",0,N(Movimenti!$L593))</f>
        <v>0</v>
      </c>
    </row>
    <row r="612">
      <c r="AD612">
        <f>IF(AND(ISNUMBER(Movimenti!$A594),Movimenti!$L594&lt;&gt;""),Movimenti!$A594,$B$32)</f>
        <v>45596.0</v>
      </c>
      <c r="AE612">
        <f>IF(Movimenti!$L594="",0,N(Movimenti!$L594))</f>
        <v>0</v>
      </c>
    </row>
    <row r="613">
      <c r="AD613">
        <f>IF(AND(ISNUMBER(Movimenti!$A595),Movimenti!$L595&lt;&gt;""),Movimenti!$A595,$B$32)</f>
        <v>45596.0</v>
      </c>
      <c r="AE613">
        <f>IF(Movimenti!$L595="",0,N(Movimenti!$L595))</f>
        <v>0</v>
      </c>
    </row>
    <row r="614">
      <c r="AD614">
        <f>IF(AND(ISNUMBER(Movimenti!$A596),Movimenti!$L596&lt;&gt;""),Movimenti!$A596,$B$32)</f>
        <v>45596.0</v>
      </c>
      <c r="AE614">
        <f>IF(Movimenti!$L596="",0,N(Movimenti!$L596))</f>
        <v>0</v>
      </c>
    </row>
    <row r="615">
      <c r="AD615">
        <f>IF(AND(ISNUMBER(Movimenti!$A597),Movimenti!$L597&lt;&gt;""),Movimenti!$A597,$B$32)</f>
        <v>45596.0</v>
      </c>
      <c r="AE615">
        <f>IF(Movimenti!$L597="",0,N(Movimenti!$L597))</f>
        <v>0</v>
      </c>
    </row>
    <row r="616">
      <c r="AD616">
        <f>IF(AND(ISNUMBER(Movimenti!$A598),Movimenti!$L598&lt;&gt;""),Movimenti!$A598,$B$32)</f>
        <v>45596.0</v>
      </c>
      <c r="AE616">
        <f>IF(Movimenti!$L598="",0,N(Movimenti!$L598))</f>
        <v>0</v>
      </c>
    </row>
    <row r="617">
      <c r="AD617">
        <f>IF(AND(ISNUMBER(Movimenti!$A599),Movimenti!$L599&lt;&gt;""),Movimenti!$A599,$B$32)</f>
        <v>45596.0</v>
      </c>
      <c r="AE617">
        <f>IF(Movimenti!$L599="",0,N(Movimenti!$L599))</f>
        <v>0</v>
      </c>
    </row>
    <row r="618">
      <c r="AD618">
        <f>IF(AND(ISNUMBER(Movimenti!$A600),Movimenti!$L600&lt;&gt;""),Movimenti!$A600,$B$32)</f>
        <v>45596.0</v>
      </c>
      <c r="AE618">
        <f>IF(Movimenti!$L600="",0,N(Movimenti!$L600))</f>
        <v>0</v>
      </c>
    </row>
    <row r="619">
      <c r="AD619">
        <f>IF(AND(ISNUMBER(Movimenti!$A601),Movimenti!$L601&lt;&gt;""),Movimenti!$A601,$B$32)</f>
        <v>45596.0</v>
      </c>
      <c r="AE619">
        <f>IF(Movimenti!$L601="",0,N(Movimenti!$L601))</f>
        <v>0</v>
      </c>
    </row>
    <row r="620">
      <c r="AD620">
        <f>IF(AND(ISNUMBER(Movimenti!$A602),Movimenti!$L602&lt;&gt;""),Movimenti!$A602,$B$32)</f>
        <v>45596.0</v>
      </c>
      <c r="AE620">
        <f>IF(Movimenti!$L602="",0,N(Movimenti!$L602))</f>
        <v>0</v>
      </c>
    </row>
    <row r="621">
      <c r="AD621">
        <f>IF(AND(ISNUMBER(Movimenti!$A603),Movimenti!$L603&lt;&gt;""),Movimenti!$A603,$B$32)</f>
        <v>45596.0</v>
      </c>
      <c r="AE621">
        <f>IF(Movimenti!$L603="",0,N(Movimenti!$L603))</f>
        <v>0</v>
      </c>
    </row>
    <row r="622">
      <c r="AD622">
        <f>IF(AND(ISNUMBER(Movimenti!$A604),Movimenti!$L604&lt;&gt;""),Movimenti!$A604,$B$32)</f>
        <v>45596.0</v>
      </c>
      <c r="AE622">
        <f>IF(Movimenti!$L604="",0,N(Movimenti!$L604))</f>
        <v>0</v>
      </c>
    </row>
    <row r="623">
      <c r="AD623">
        <f>IF(AND(ISNUMBER(Movimenti!$A605),Movimenti!$L605&lt;&gt;""),Movimenti!$A605,$B$32)</f>
        <v>45596.0</v>
      </c>
      <c r="AE623">
        <f>IF(Movimenti!$L605="",0,N(Movimenti!$L605))</f>
        <v>0</v>
      </c>
    </row>
    <row r="624">
      <c r="AD624">
        <f>IF(AND(ISNUMBER(Movimenti!$A606),Movimenti!$L606&lt;&gt;""),Movimenti!$A606,$B$32)</f>
        <v>45596.0</v>
      </c>
      <c r="AE624">
        <f>IF(Movimenti!$L606="",0,N(Movimenti!$L606))</f>
        <v>0</v>
      </c>
    </row>
    <row r="625">
      <c r="AD625">
        <f>IF(AND(ISNUMBER(Movimenti!$A607),Movimenti!$L607&lt;&gt;""),Movimenti!$A607,$B$32)</f>
        <v>45596.0</v>
      </c>
      <c r="AE625">
        <f>IF(Movimenti!$L607="",0,N(Movimenti!$L607))</f>
        <v>0</v>
      </c>
    </row>
    <row r="626">
      <c r="AD626">
        <f>IF(AND(ISNUMBER(Movimenti!$A608),Movimenti!$L608&lt;&gt;""),Movimenti!$A608,$B$32)</f>
        <v>45596.0</v>
      </c>
      <c r="AE626">
        <f>IF(Movimenti!$L608="",0,N(Movimenti!$L608))</f>
        <v>0</v>
      </c>
    </row>
    <row r="627">
      <c r="AD627">
        <f>IF(AND(ISNUMBER(Movimenti!$A609),Movimenti!$L609&lt;&gt;""),Movimenti!$A609,$B$32)</f>
        <v>45596.0</v>
      </c>
      <c r="AE627">
        <f>IF(Movimenti!$L609="",0,N(Movimenti!$L609))</f>
        <v>0</v>
      </c>
    </row>
    <row r="628">
      <c r="AD628">
        <f>IF(AND(ISNUMBER(Movimenti!$A610),Movimenti!$L610&lt;&gt;""),Movimenti!$A610,$B$32)</f>
        <v>45596.0</v>
      </c>
      <c r="AE628">
        <f>IF(Movimenti!$L610="",0,N(Movimenti!$L610))</f>
        <v>0</v>
      </c>
    </row>
    <row r="629">
      <c r="AD629">
        <f>IF(AND(ISNUMBER(Movimenti!$A611),Movimenti!$L611&lt;&gt;""),Movimenti!$A611,$B$32)</f>
        <v>45596.0</v>
      </c>
      <c r="AE629">
        <f>IF(Movimenti!$L611="",0,N(Movimenti!$L611))</f>
        <v>0</v>
      </c>
    </row>
    <row r="630">
      <c r="AD630">
        <f>IF(AND(ISNUMBER(Movimenti!$A612),Movimenti!$L612&lt;&gt;""),Movimenti!$A612,$B$32)</f>
        <v>45596.0</v>
      </c>
      <c r="AE630">
        <f>IF(Movimenti!$L612="",0,N(Movimenti!$L612))</f>
        <v>0</v>
      </c>
    </row>
    <row r="631">
      <c r="AD631">
        <f>IF(AND(ISNUMBER(Movimenti!$A613),Movimenti!$L613&lt;&gt;""),Movimenti!$A613,$B$32)</f>
        <v>45596.0</v>
      </c>
      <c r="AE631">
        <f>IF(Movimenti!$L613="",0,N(Movimenti!$L613))</f>
        <v>0</v>
      </c>
    </row>
    <row r="632">
      <c r="AD632">
        <f>IF(AND(ISNUMBER(Movimenti!$A614),Movimenti!$L614&lt;&gt;""),Movimenti!$A614,$B$32)</f>
        <v>45596.0</v>
      </c>
      <c r="AE632">
        <f>IF(Movimenti!$L614="",0,N(Movimenti!$L614))</f>
        <v>0</v>
      </c>
    </row>
    <row r="633">
      <c r="AD633">
        <f>IF(AND(ISNUMBER(Movimenti!$A615),Movimenti!$L615&lt;&gt;""),Movimenti!$A615,$B$32)</f>
        <v>45596.0</v>
      </c>
      <c r="AE633">
        <f>IF(Movimenti!$L615="",0,N(Movimenti!$L615))</f>
        <v>0</v>
      </c>
    </row>
    <row r="634">
      <c r="AD634">
        <f>IF(AND(ISNUMBER(Movimenti!$A616),Movimenti!$L616&lt;&gt;""),Movimenti!$A616,$B$32)</f>
        <v>45596.0</v>
      </c>
      <c r="AE634">
        <f>IF(Movimenti!$L616="",0,N(Movimenti!$L616))</f>
        <v>0</v>
      </c>
    </row>
    <row r="635">
      <c r="AD635">
        <f>IF(AND(ISNUMBER(Movimenti!$A617),Movimenti!$L617&lt;&gt;""),Movimenti!$A617,$B$32)</f>
        <v>45596.0</v>
      </c>
      <c r="AE635">
        <f>IF(Movimenti!$L617="",0,N(Movimenti!$L617))</f>
        <v>0</v>
      </c>
    </row>
    <row r="636">
      <c r="AD636">
        <f>IF(AND(ISNUMBER(Movimenti!$A618),Movimenti!$L618&lt;&gt;""),Movimenti!$A618,$B$32)</f>
        <v>45596.0</v>
      </c>
      <c r="AE636">
        <f>IF(Movimenti!$L618="",0,N(Movimenti!$L618))</f>
        <v>0</v>
      </c>
    </row>
    <row r="637">
      <c r="AD637">
        <f>IF(AND(ISNUMBER(Movimenti!$A619),Movimenti!$L619&lt;&gt;""),Movimenti!$A619,$B$32)</f>
        <v>45596.0</v>
      </c>
      <c r="AE637">
        <f>IF(Movimenti!$L619="",0,N(Movimenti!$L619))</f>
        <v>0</v>
      </c>
    </row>
    <row r="638">
      <c r="AD638">
        <f>IF(AND(ISNUMBER(Movimenti!$A620),Movimenti!$L620&lt;&gt;""),Movimenti!$A620,$B$32)</f>
        <v>45596.0</v>
      </c>
      <c r="AE638">
        <f>IF(Movimenti!$L620="",0,N(Movimenti!$L620))</f>
        <v>0</v>
      </c>
    </row>
    <row r="639">
      <c r="AD639">
        <f>IF(AND(ISNUMBER(Movimenti!$A621),Movimenti!$L621&lt;&gt;""),Movimenti!$A621,$B$32)</f>
        <v>45596.0</v>
      </c>
      <c r="AE639">
        <f>IF(Movimenti!$L621="",0,N(Movimenti!$L621))</f>
        <v>0</v>
      </c>
    </row>
    <row r="640">
      <c r="AD640">
        <f>IF(AND(ISNUMBER(Movimenti!$A622),Movimenti!$L622&lt;&gt;""),Movimenti!$A622,$B$32)</f>
        <v>45596.0</v>
      </c>
      <c r="AE640">
        <f>IF(Movimenti!$L622="",0,N(Movimenti!$L622))</f>
        <v>0</v>
      </c>
    </row>
    <row r="641">
      <c r="AD641">
        <f>IF(AND(ISNUMBER(Movimenti!$A623),Movimenti!$L623&lt;&gt;""),Movimenti!$A623,$B$32)</f>
        <v>45596.0</v>
      </c>
      <c r="AE641">
        <f>IF(Movimenti!$L623="",0,N(Movimenti!$L623))</f>
        <v>0</v>
      </c>
    </row>
    <row r="642">
      <c r="AD642">
        <f>IF(AND(ISNUMBER(Movimenti!$A624),Movimenti!$L624&lt;&gt;""),Movimenti!$A624,$B$32)</f>
        <v>45596.0</v>
      </c>
      <c r="AE642">
        <f>IF(Movimenti!$L624="",0,N(Movimenti!$L624))</f>
        <v>0</v>
      </c>
    </row>
    <row r="643">
      <c r="AD643">
        <f>IF(AND(ISNUMBER(Movimenti!$A625),Movimenti!$L625&lt;&gt;""),Movimenti!$A625,$B$32)</f>
        <v>45596.0</v>
      </c>
      <c r="AE643">
        <f>IF(Movimenti!$L625="",0,N(Movimenti!$L625))</f>
        <v>0</v>
      </c>
    </row>
    <row r="644">
      <c r="AD644">
        <f>IF(AND(ISNUMBER(Movimenti!$A626),Movimenti!$L626&lt;&gt;""),Movimenti!$A626,$B$32)</f>
        <v>45596.0</v>
      </c>
      <c r="AE644">
        <f>IF(Movimenti!$L626="",0,N(Movimenti!$L626))</f>
        <v>0</v>
      </c>
    </row>
    <row r="645">
      <c r="AD645">
        <f>IF(AND(ISNUMBER(Movimenti!$A627),Movimenti!$L627&lt;&gt;""),Movimenti!$A627,$B$32)</f>
        <v>45596.0</v>
      </c>
      <c r="AE645">
        <f>IF(Movimenti!$L627="",0,N(Movimenti!$L627))</f>
        <v>0</v>
      </c>
    </row>
    <row r="646">
      <c r="AD646">
        <f>IF(AND(ISNUMBER(Movimenti!$A628),Movimenti!$L628&lt;&gt;""),Movimenti!$A628,$B$32)</f>
        <v>45596.0</v>
      </c>
      <c r="AE646">
        <f>IF(Movimenti!$L628="",0,N(Movimenti!$L628))</f>
        <v>0</v>
      </c>
    </row>
    <row r="647">
      <c r="AD647">
        <f>IF(AND(ISNUMBER(Movimenti!$A629),Movimenti!$L629&lt;&gt;""),Movimenti!$A629,$B$32)</f>
        <v>45596.0</v>
      </c>
      <c r="AE647">
        <f>IF(Movimenti!$L629="",0,N(Movimenti!$L629))</f>
        <v>0</v>
      </c>
    </row>
    <row r="648">
      <c r="AD648">
        <f>IF(AND(ISNUMBER(Movimenti!$A630),Movimenti!$L630&lt;&gt;""),Movimenti!$A630,$B$32)</f>
        <v>45596.0</v>
      </c>
      <c r="AE648">
        <f>IF(Movimenti!$L630="",0,N(Movimenti!$L630))</f>
        <v>0</v>
      </c>
    </row>
    <row r="649">
      <c r="AD649">
        <f>IF(AND(ISNUMBER(Movimenti!$A631),Movimenti!$L631&lt;&gt;""),Movimenti!$A631,$B$32)</f>
        <v>45596.0</v>
      </c>
      <c r="AE649">
        <f>IF(Movimenti!$L631="",0,N(Movimenti!$L631))</f>
        <v>0</v>
      </c>
    </row>
    <row r="650">
      <c r="AD650">
        <f>IF(AND(ISNUMBER(Movimenti!$A632),Movimenti!$L632&lt;&gt;""),Movimenti!$A632,$B$32)</f>
        <v>45596.0</v>
      </c>
      <c r="AE650">
        <f>IF(Movimenti!$L632="",0,N(Movimenti!$L632))</f>
        <v>0</v>
      </c>
    </row>
    <row r="651">
      <c r="AD651">
        <f>IF(AND(ISNUMBER(Movimenti!$A633),Movimenti!$L633&lt;&gt;""),Movimenti!$A633,$B$32)</f>
        <v>45596.0</v>
      </c>
      <c r="AE651">
        <f>IF(Movimenti!$L633="",0,N(Movimenti!$L633))</f>
        <v>0</v>
      </c>
    </row>
    <row r="652">
      <c r="AD652">
        <f>IF(AND(ISNUMBER(Movimenti!$A634),Movimenti!$L634&lt;&gt;""),Movimenti!$A634,$B$32)</f>
        <v>45596.0</v>
      </c>
      <c r="AE652">
        <f>IF(Movimenti!$L634="",0,N(Movimenti!$L634))</f>
        <v>0</v>
      </c>
    </row>
    <row r="653">
      <c r="AD653">
        <f>IF(AND(ISNUMBER(Movimenti!$A635),Movimenti!$L635&lt;&gt;""),Movimenti!$A635,$B$32)</f>
        <v>45596.0</v>
      </c>
      <c r="AE653">
        <f>IF(Movimenti!$L635="",0,N(Movimenti!$L635))</f>
        <v>0</v>
      </c>
    </row>
    <row r="654">
      <c r="AD654">
        <f>IF(AND(ISNUMBER(Movimenti!$A636),Movimenti!$L636&lt;&gt;""),Movimenti!$A636,$B$32)</f>
        <v>45596.0</v>
      </c>
      <c r="AE654">
        <f>IF(Movimenti!$L636="",0,N(Movimenti!$L636))</f>
        <v>0</v>
      </c>
    </row>
    <row r="655">
      <c r="AD655">
        <f>IF(AND(ISNUMBER(Movimenti!$A637),Movimenti!$L637&lt;&gt;""),Movimenti!$A637,$B$32)</f>
        <v>45596.0</v>
      </c>
      <c r="AE655">
        <f>IF(Movimenti!$L637="",0,N(Movimenti!$L637))</f>
        <v>0</v>
      </c>
    </row>
    <row r="656">
      <c r="AD656">
        <f>IF(AND(ISNUMBER(Movimenti!$A638),Movimenti!$L638&lt;&gt;""),Movimenti!$A638,$B$32)</f>
        <v>45596.0</v>
      </c>
      <c r="AE656">
        <f>IF(Movimenti!$L638="",0,N(Movimenti!$L638))</f>
        <v>0</v>
      </c>
    </row>
    <row r="657">
      <c r="AD657">
        <f>IF(AND(ISNUMBER(Movimenti!$A639),Movimenti!$L639&lt;&gt;""),Movimenti!$A639,$B$32)</f>
        <v>45596.0</v>
      </c>
      <c r="AE657">
        <f>IF(Movimenti!$L639="",0,N(Movimenti!$L639))</f>
        <v>0</v>
      </c>
    </row>
    <row r="658">
      <c r="AD658">
        <f>IF(AND(ISNUMBER(Movimenti!$A640),Movimenti!$L640&lt;&gt;""),Movimenti!$A640,$B$32)</f>
        <v>45596.0</v>
      </c>
      <c r="AE658">
        <f>IF(Movimenti!$L640="",0,N(Movimenti!$L640))</f>
        <v>0</v>
      </c>
    </row>
    <row r="659">
      <c r="AD659">
        <f>IF(AND(ISNUMBER(Movimenti!$A641),Movimenti!$L641&lt;&gt;""),Movimenti!$A641,$B$32)</f>
        <v>45596.0</v>
      </c>
      <c r="AE659">
        <f>IF(Movimenti!$L641="",0,N(Movimenti!$L641))</f>
        <v>0</v>
      </c>
    </row>
    <row r="660">
      <c r="AD660">
        <f>IF(AND(ISNUMBER(Movimenti!$A642),Movimenti!$L642&lt;&gt;""),Movimenti!$A642,$B$32)</f>
        <v>45596.0</v>
      </c>
      <c r="AE660">
        <f>IF(Movimenti!$L642="",0,N(Movimenti!$L642))</f>
        <v>0</v>
      </c>
    </row>
    <row r="661">
      <c r="AD661">
        <f>IF(AND(ISNUMBER(Movimenti!$A643),Movimenti!$L643&lt;&gt;""),Movimenti!$A643,$B$32)</f>
        <v>45596.0</v>
      </c>
      <c r="AE661">
        <f>IF(Movimenti!$L643="",0,N(Movimenti!$L643))</f>
        <v>0</v>
      </c>
    </row>
    <row r="662">
      <c r="AD662">
        <f>IF(AND(ISNUMBER(Movimenti!$A644),Movimenti!$L644&lt;&gt;""),Movimenti!$A644,$B$32)</f>
        <v>45596.0</v>
      </c>
      <c r="AE662">
        <f>IF(Movimenti!$L644="",0,N(Movimenti!$L644))</f>
        <v>0</v>
      </c>
    </row>
    <row r="663">
      <c r="AD663">
        <f>IF(AND(ISNUMBER(Movimenti!$A645),Movimenti!$L645&lt;&gt;""),Movimenti!$A645,$B$32)</f>
        <v>45596.0</v>
      </c>
      <c r="AE663">
        <f>IF(Movimenti!$L645="",0,N(Movimenti!$L645))</f>
        <v>0</v>
      </c>
    </row>
    <row r="664">
      <c r="AD664">
        <f>IF(AND(ISNUMBER(Movimenti!$A646),Movimenti!$L646&lt;&gt;""),Movimenti!$A646,$B$32)</f>
        <v>45596.0</v>
      </c>
      <c r="AE664">
        <f>IF(Movimenti!$L646="",0,N(Movimenti!$L646))</f>
        <v>0</v>
      </c>
    </row>
    <row r="665">
      <c r="AD665">
        <f>IF(AND(ISNUMBER(Movimenti!$A647),Movimenti!$L647&lt;&gt;""),Movimenti!$A647,$B$32)</f>
        <v>45596.0</v>
      </c>
      <c r="AE665">
        <f>IF(Movimenti!$L647="",0,N(Movimenti!$L647))</f>
        <v>0</v>
      </c>
    </row>
    <row r="666">
      <c r="AD666">
        <f>IF(AND(ISNUMBER(Movimenti!$A648),Movimenti!$L648&lt;&gt;""),Movimenti!$A648,$B$32)</f>
        <v>45596.0</v>
      </c>
      <c r="AE666">
        <f>IF(Movimenti!$L648="",0,N(Movimenti!$L648))</f>
        <v>0</v>
      </c>
    </row>
    <row r="667">
      <c r="AD667">
        <f>IF(AND(ISNUMBER(Movimenti!$A649),Movimenti!$L649&lt;&gt;""),Movimenti!$A649,$B$32)</f>
        <v>45596.0</v>
      </c>
      <c r="AE667">
        <f>IF(Movimenti!$L649="",0,N(Movimenti!$L649))</f>
        <v>0</v>
      </c>
    </row>
    <row r="668">
      <c r="AD668">
        <f>IF(AND(ISNUMBER(Movimenti!$A650),Movimenti!$L650&lt;&gt;""),Movimenti!$A650,$B$32)</f>
        <v>45596.0</v>
      </c>
      <c r="AE668">
        <f>IF(Movimenti!$L650="",0,N(Movimenti!$L650))</f>
        <v>0</v>
      </c>
    </row>
    <row r="669">
      <c r="AD669">
        <f>IF(AND(ISNUMBER(Movimenti!$A651),Movimenti!$L651&lt;&gt;""),Movimenti!$A651,$B$32)</f>
        <v>45596.0</v>
      </c>
      <c r="AE669">
        <f>IF(Movimenti!$L651="",0,N(Movimenti!$L651))</f>
        <v>0</v>
      </c>
    </row>
    <row r="670">
      <c r="AD670">
        <f>IF(AND(ISNUMBER(Movimenti!$A652),Movimenti!$L652&lt;&gt;""),Movimenti!$A652,$B$32)</f>
        <v>45596.0</v>
      </c>
      <c r="AE670">
        <f>IF(Movimenti!$L652="",0,N(Movimenti!$L652))</f>
        <v>0</v>
      </c>
    </row>
    <row r="671">
      <c r="AD671">
        <f>IF(AND(ISNUMBER(Movimenti!$A653),Movimenti!$L653&lt;&gt;""),Movimenti!$A653,$B$32)</f>
        <v>45596.0</v>
      </c>
      <c r="AE671">
        <f>IF(Movimenti!$L653="",0,N(Movimenti!$L653))</f>
        <v>0</v>
      </c>
    </row>
    <row r="672">
      <c r="AD672">
        <f>IF(AND(ISNUMBER(Movimenti!$A654),Movimenti!$L654&lt;&gt;""),Movimenti!$A654,$B$32)</f>
        <v>45596.0</v>
      </c>
      <c r="AE672">
        <f>IF(Movimenti!$L654="",0,N(Movimenti!$L654))</f>
        <v>0</v>
      </c>
    </row>
    <row r="673">
      <c r="AD673">
        <f>IF(AND(ISNUMBER(Movimenti!$A655),Movimenti!$L655&lt;&gt;""),Movimenti!$A655,$B$32)</f>
        <v>45596.0</v>
      </c>
      <c r="AE673">
        <f>IF(Movimenti!$L655="",0,N(Movimenti!$L655))</f>
        <v>0</v>
      </c>
    </row>
    <row r="674">
      <c r="AD674">
        <f>IF(AND(ISNUMBER(Movimenti!$A656),Movimenti!$L656&lt;&gt;""),Movimenti!$A656,$B$32)</f>
        <v>45596.0</v>
      </c>
      <c r="AE674">
        <f>IF(Movimenti!$L656="",0,N(Movimenti!$L656))</f>
        <v>0</v>
      </c>
    </row>
    <row r="675">
      <c r="AD675">
        <f>IF(AND(ISNUMBER(Movimenti!$A657),Movimenti!$L657&lt;&gt;""),Movimenti!$A657,$B$32)</f>
        <v>45596.0</v>
      </c>
      <c r="AE675">
        <f>IF(Movimenti!$L657="",0,N(Movimenti!$L657))</f>
        <v>0</v>
      </c>
    </row>
    <row r="676">
      <c r="AD676">
        <f>IF(AND(ISNUMBER(Movimenti!$A658),Movimenti!$L658&lt;&gt;""),Movimenti!$A658,$B$32)</f>
        <v>45596.0</v>
      </c>
      <c r="AE676">
        <f>IF(Movimenti!$L658="",0,N(Movimenti!$L658))</f>
        <v>0</v>
      </c>
    </row>
    <row r="677">
      <c r="AD677">
        <f>IF(AND(ISNUMBER(Movimenti!$A659),Movimenti!$L659&lt;&gt;""),Movimenti!$A659,$B$32)</f>
        <v>45596.0</v>
      </c>
      <c r="AE677">
        <f>IF(Movimenti!$L659="",0,N(Movimenti!$L659))</f>
        <v>0</v>
      </c>
    </row>
    <row r="678">
      <c r="AD678">
        <f>IF(AND(ISNUMBER(Movimenti!$A660),Movimenti!$L660&lt;&gt;""),Movimenti!$A660,$B$32)</f>
        <v>45596.0</v>
      </c>
      <c r="AE678">
        <f>IF(Movimenti!$L660="",0,N(Movimenti!$L660))</f>
        <v>0</v>
      </c>
    </row>
    <row r="679">
      <c r="AD679">
        <f>IF(AND(ISNUMBER(Movimenti!$A661),Movimenti!$L661&lt;&gt;""),Movimenti!$A661,$B$32)</f>
        <v>45596.0</v>
      </c>
      <c r="AE679">
        <f>IF(Movimenti!$L661="",0,N(Movimenti!$L661))</f>
        <v>0</v>
      </c>
    </row>
    <row r="680">
      <c r="AD680">
        <f>IF(AND(ISNUMBER(Movimenti!$A662),Movimenti!$L662&lt;&gt;""),Movimenti!$A662,$B$32)</f>
        <v>45596.0</v>
      </c>
      <c r="AE680">
        <f>IF(Movimenti!$L662="",0,N(Movimenti!$L662))</f>
        <v>0</v>
      </c>
    </row>
    <row r="681">
      <c r="AD681">
        <f>IF(AND(ISNUMBER(Movimenti!$A663),Movimenti!$L663&lt;&gt;""),Movimenti!$A663,$B$32)</f>
        <v>45596.0</v>
      </c>
      <c r="AE681">
        <f>IF(Movimenti!$L663="",0,N(Movimenti!$L663))</f>
        <v>0</v>
      </c>
    </row>
    <row r="682">
      <c r="AD682">
        <f>IF(AND(ISNUMBER(Movimenti!$A664),Movimenti!$L664&lt;&gt;""),Movimenti!$A664,$B$32)</f>
        <v>45596.0</v>
      </c>
      <c r="AE682">
        <f>IF(Movimenti!$L664="",0,N(Movimenti!$L664))</f>
        <v>0</v>
      </c>
    </row>
    <row r="683">
      <c r="AD683">
        <f>IF(AND(ISNUMBER(Movimenti!$A665),Movimenti!$L665&lt;&gt;""),Movimenti!$A665,$B$32)</f>
        <v>45596.0</v>
      </c>
      <c r="AE683">
        <f>IF(Movimenti!$L665="",0,N(Movimenti!$L665))</f>
        <v>0</v>
      </c>
    </row>
    <row r="684">
      <c r="AD684">
        <f>IF(AND(ISNUMBER(Movimenti!$A666),Movimenti!$L666&lt;&gt;""),Movimenti!$A666,$B$32)</f>
        <v>45596.0</v>
      </c>
      <c r="AE684">
        <f>IF(Movimenti!$L666="",0,N(Movimenti!$L666))</f>
        <v>0</v>
      </c>
    </row>
    <row r="685">
      <c r="AD685">
        <f>IF(AND(ISNUMBER(Movimenti!$A667),Movimenti!$L667&lt;&gt;""),Movimenti!$A667,$B$32)</f>
        <v>45596.0</v>
      </c>
      <c r="AE685">
        <f>IF(Movimenti!$L667="",0,N(Movimenti!$L667))</f>
        <v>0</v>
      </c>
    </row>
    <row r="686">
      <c r="AD686">
        <f>IF(AND(ISNUMBER(Movimenti!$A668),Movimenti!$L668&lt;&gt;""),Movimenti!$A668,$B$32)</f>
        <v>45596.0</v>
      </c>
      <c r="AE686">
        <f>IF(Movimenti!$L668="",0,N(Movimenti!$L668))</f>
        <v>0</v>
      </c>
    </row>
    <row r="687">
      <c r="AD687">
        <f>IF(AND(ISNUMBER(Movimenti!$A669),Movimenti!$L669&lt;&gt;""),Movimenti!$A669,$B$32)</f>
        <v>45596.0</v>
      </c>
      <c r="AE687">
        <f>IF(Movimenti!$L669="",0,N(Movimenti!$L669))</f>
        <v>0</v>
      </c>
    </row>
    <row r="688">
      <c r="AD688">
        <f>IF(AND(ISNUMBER(Movimenti!$A670),Movimenti!$L670&lt;&gt;""),Movimenti!$A670,$B$32)</f>
        <v>45596.0</v>
      </c>
      <c r="AE688">
        <f>IF(Movimenti!$L670="",0,N(Movimenti!$L670))</f>
        <v>0</v>
      </c>
    </row>
    <row r="689">
      <c r="AD689">
        <f>IF(AND(ISNUMBER(Movimenti!$A671),Movimenti!$L671&lt;&gt;""),Movimenti!$A671,$B$32)</f>
        <v>45596.0</v>
      </c>
      <c r="AE689">
        <f>IF(Movimenti!$L671="",0,N(Movimenti!$L671))</f>
        <v>0</v>
      </c>
    </row>
    <row r="690">
      <c r="AD690">
        <f>IF(AND(ISNUMBER(Movimenti!$A672),Movimenti!$L672&lt;&gt;""),Movimenti!$A672,$B$32)</f>
        <v>45596.0</v>
      </c>
      <c r="AE690">
        <f>IF(Movimenti!$L672="",0,N(Movimenti!$L672))</f>
        <v>0</v>
      </c>
    </row>
    <row r="691">
      <c r="AD691">
        <f>IF(AND(ISNUMBER(Movimenti!$A673),Movimenti!$L673&lt;&gt;""),Movimenti!$A673,$B$32)</f>
        <v>45596.0</v>
      </c>
      <c r="AE691">
        <f>IF(Movimenti!$L673="",0,N(Movimenti!$L673))</f>
        <v>0</v>
      </c>
    </row>
    <row r="692">
      <c r="AD692">
        <f>IF(AND(ISNUMBER(Movimenti!$A674),Movimenti!$L674&lt;&gt;""),Movimenti!$A674,$B$32)</f>
        <v>45596.0</v>
      </c>
      <c r="AE692">
        <f>IF(Movimenti!$L674="",0,N(Movimenti!$L674))</f>
        <v>0</v>
      </c>
    </row>
    <row r="693">
      <c r="AD693">
        <f>IF(AND(ISNUMBER(Movimenti!$A675),Movimenti!$L675&lt;&gt;""),Movimenti!$A675,$B$32)</f>
        <v>45596.0</v>
      </c>
      <c r="AE693">
        <f>IF(Movimenti!$L675="",0,N(Movimenti!$L675))</f>
        <v>0</v>
      </c>
    </row>
    <row r="694">
      <c r="AD694">
        <f>IF(AND(ISNUMBER(Movimenti!$A676),Movimenti!$L676&lt;&gt;""),Movimenti!$A676,$B$32)</f>
        <v>45596.0</v>
      </c>
      <c r="AE694">
        <f>IF(Movimenti!$L676="",0,N(Movimenti!$L676))</f>
        <v>0</v>
      </c>
    </row>
    <row r="695">
      <c r="AD695">
        <f>IF(AND(ISNUMBER(Movimenti!$A677),Movimenti!$L677&lt;&gt;""),Movimenti!$A677,$B$32)</f>
        <v>45596.0</v>
      </c>
      <c r="AE695">
        <f>IF(Movimenti!$L677="",0,N(Movimenti!$L677))</f>
        <v>0</v>
      </c>
    </row>
    <row r="696">
      <c r="AD696">
        <f>IF(AND(ISNUMBER(Movimenti!$A678),Movimenti!$L678&lt;&gt;""),Movimenti!$A678,$B$32)</f>
        <v>45596.0</v>
      </c>
      <c r="AE696">
        <f>IF(Movimenti!$L678="",0,N(Movimenti!$L678))</f>
        <v>0</v>
      </c>
    </row>
    <row r="697">
      <c r="AD697">
        <f>IF(AND(ISNUMBER(Movimenti!$A679),Movimenti!$L679&lt;&gt;""),Movimenti!$A679,$B$32)</f>
        <v>45596.0</v>
      </c>
      <c r="AE697">
        <f>IF(Movimenti!$L679="",0,N(Movimenti!$L679))</f>
        <v>0</v>
      </c>
    </row>
    <row r="698">
      <c r="AD698">
        <f>IF(AND(ISNUMBER(Movimenti!$A680),Movimenti!$L680&lt;&gt;""),Movimenti!$A680,$B$32)</f>
        <v>45596.0</v>
      </c>
      <c r="AE698">
        <f>IF(Movimenti!$L680="",0,N(Movimenti!$L680))</f>
        <v>0</v>
      </c>
    </row>
    <row r="699">
      <c r="AD699">
        <f>IF(AND(ISNUMBER(Movimenti!$A681),Movimenti!$L681&lt;&gt;""),Movimenti!$A681,$B$32)</f>
        <v>45596.0</v>
      </c>
      <c r="AE699">
        <f>IF(Movimenti!$L681="",0,N(Movimenti!$L681))</f>
        <v>0</v>
      </c>
    </row>
    <row r="700">
      <c r="AD700">
        <f>IF(AND(ISNUMBER(Movimenti!$A682),Movimenti!$L682&lt;&gt;""),Movimenti!$A682,$B$32)</f>
        <v>45596.0</v>
      </c>
      <c r="AE700">
        <f>IF(Movimenti!$L682="",0,N(Movimenti!$L682))</f>
        <v>0</v>
      </c>
    </row>
    <row r="701">
      <c r="AD701">
        <f>IF(AND(ISNUMBER(Movimenti!$A683),Movimenti!$L683&lt;&gt;""),Movimenti!$A683,$B$32)</f>
        <v>45596.0</v>
      </c>
      <c r="AE701">
        <f>IF(Movimenti!$L683="",0,N(Movimenti!$L683))</f>
        <v>0</v>
      </c>
    </row>
    <row r="702">
      <c r="AD702">
        <f>IF(AND(ISNUMBER(Movimenti!$A684),Movimenti!$L684&lt;&gt;""),Movimenti!$A684,$B$32)</f>
        <v>45596.0</v>
      </c>
      <c r="AE702">
        <f>IF(Movimenti!$L684="",0,N(Movimenti!$L684))</f>
        <v>0</v>
      </c>
    </row>
    <row r="703">
      <c r="AD703">
        <f>IF(AND(ISNUMBER(Movimenti!$A685),Movimenti!$L685&lt;&gt;""),Movimenti!$A685,$B$32)</f>
        <v>45596.0</v>
      </c>
      <c r="AE703">
        <f>IF(Movimenti!$L685="",0,N(Movimenti!$L685))</f>
        <v>0</v>
      </c>
    </row>
    <row r="704">
      <c r="AD704">
        <f>IF(AND(ISNUMBER(Movimenti!$A686),Movimenti!$L686&lt;&gt;""),Movimenti!$A686,$B$32)</f>
        <v>45596.0</v>
      </c>
      <c r="AE704">
        <f>IF(Movimenti!$L686="",0,N(Movimenti!$L686))</f>
        <v>0</v>
      </c>
    </row>
    <row r="705">
      <c r="AD705">
        <f>IF(AND(ISNUMBER(Movimenti!$A687),Movimenti!$L687&lt;&gt;""),Movimenti!$A687,$B$32)</f>
        <v>45596.0</v>
      </c>
      <c r="AE705">
        <f>IF(Movimenti!$L687="",0,N(Movimenti!$L687))</f>
        <v>0</v>
      </c>
    </row>
    <row r="706">
      <c r="AD706">
        <f>IF(AND(ISNUMBER(Movimenti!$A688),Movimenti!$L688&lt;&gt;""),Movimenti!$A688,$B$32)</f>
        <v>45596.0</v>
      </c>
      <c r="AE706">
        <f>IF(Movimenti!$L688="",0,N(Movimenti!$L688))</f>
        <v>0</v>
      </c>
    </row>
    <row r="707">
      <c r="AD707">
        <f>IF(AND(ISNUMBER(Movimenti!$A689),Movimenti!$L689&lt;&gt;""),Movimenti!$A689,$B$32)</f>
        <v>45596.0</v>
      </c>
      <c r="AE707">
        <f>IF(Movimenti!$L689="",0,N(Movimenti!$L689))</f>
        <v>0</v>
      </c>
    </row>
    <row r="708">
      <c r="AD708">
        <f>IF(AND(ISNUMBER(Movimenti!$A690),Movimenti!$L690&lt;&gt;""),Movimenti!$A690,$B$32)</f>
        <v>45596.0</v>
      </c>
      <c r="AE708">
        <f>IF(Movimenti!$L690="",0,N(Movimenti!$L690))</f>
        <v>0</v>
      </c>
    </row>
    <row r="709">
      <c r="AD709">
        <f>IF(AND(ISNUMBER(Movimenti!$A691),Movimenti!$L691&lt;&gt;""),Movimenti!$A691,$B$32)</f>
        <v>45596.0</v>
      </c>
      <c r="AE709">
        <f>IF(Movimenti!$L691="",0,N(Movimenti!$L691))</f>
        <v>0</v>
      </c>
    </row>
    <row r="710">
      <c r="AD710">
        <f>IF(AND(ISNUMBER(Movimenti!$A692),Movimenti!$L692&lt;&gt;""),Movimenti!$A692,$B$32)</f>
        <v>45596.0</v>
      </c>
      <c r="AE710">
        <f>IF(Movimenti!$L692="",0,N(Movimenti!$L692))</f>
        <v>0</v>
      </c>
    </row>
    <row r="711">
      <c r="AD711">
        <f>IF(AND(ISNUMBER(Movimenti!$A693),Movimenti!$L693&lt;&gt;""),Movimenti!$A693,$B$32)</f>
        <v>45596.0</v>
      </c>
      <c r="AE711">
        <f>IF(Movimenti!$L693="",0,N(Movimenti!$L693))</f>
        <v>0</v>
      </c>
    </row>
    <row r="712">
      <c r="AD712">
        <f>IF(AND(ISNUMBER(Movimenti!$A694),Movimenti!$L694&lt;&gt;""),Movimenti!$A694,$B$32)</f>
        <v>45596.0</v>
      </c>
      <c r="AE712">
        <f>IF(Movimenti!$L694="",0,N(Movimenti!$L694))</f>
        <v>0</v>
      </c>
    </row>
    <row r="713">
      <c r="AD713">
        <f>IF(AND(ISNUMBER(Movimenti!$A695),Movimenti!$L695&lt;&gt;""),Movimenti!$A695,$B$32)</f>
        <v>45596.0</v>
      </c>
      <c r="AE713">
        <f>IF(Movimenti!$L695="",0,N(Movimenti!$L695))</f>
        <v>0</v>
      </c>
    </row>
    <row r="714">
      <c r="AD714">
        <f>IF(AND(ISNUMBER(Movimenti!$A696),Movimenti!$L696&lt;&gt;""),Movimenti!$A696,$B$32)</f>
        <v>45596.0</v>
      </c>
      <c r="AE714">
        <f>IF(Movimenti!$L696="",0,N(Movimenti!$L696))</f>
        <v>0</v>
      </c>
    </row>
    <row r="715">
      <c r="AD715">
        <f>IF(AND(ISNUMBER(Movimenti!$A697),Movimenti!$L697&lt;&gt;""),Movimenti!$A697,$B$32)</f>
        <v>45596.0</v>
      </c>
      <c r="AE715">
        <f>IF(Movimenti!$L697="",0,N(Movimenti!$L697))</f>
        <v>0</v>
      </c>
    </row>
    <row r="716">
      <c r="AD716">
        <f>IF(AND(ISNUMBER(Movimenti!$A698),Movimenti!$L698&lt;&gt;""),Movimenti!$A698,$B$32)</f>
        <v>45596.0</v>
      </c>
      <c r="AE716">
        <f>IF(Movimenti!$L698="",0,N(Movimenti!$L698))</f>
        <v>0</v>
      </c>
    </row>
    <row r="717">
      <c r="AD717">
        <f>IF(AND(ISNUMBER(Movimenti!$A699),Movimenti!$L699&lt;&gt;""),Movimenti!$A699,$B$32)</f>
        <v>45596.0</v>
      </c>
      <c r="AE717">
        <f>IF(Movimenti!$L699="",0,N(Movimenti!$L699))</f>
        <v>0</v>
      </c>
    </row>
    <row r="718">
      <c r="AD718">
        <f>IF(AND(ISNUMBER(Movimenti!$A700),Movimenti!$L700&lt;&gt;""),Movimenti!$A700,$B$32)</f>
        <v>45596.0</v>
      </c>
      <c r="AE718">
        <f>IF(Movimenti!$L700="",0,N(Movimenti!$L700))</f>
        <v>0</v>
      </c>
    </row>
    <row r="719">
      <c r="AD719">
        <f>IF(AND(ISNUMBER(Movimenti!$A701),Movimenti!$L701&lt;&gt;""),Movimenti!$A701,$B$32)</f>
        <v>45596.0</v>
      </c>
      <c r="AE719">
        <f>IF(Movimenti!$L701="",0,N(Movimenti!$L701))</f>
        <v>0</v>
      </c>
    </row>
    <row r="720">
      <c r="AD720">
        <f>IF(AND(ISNUMBER(Movimenti!$A702),Movimenti!$L702&lt;&gt;""),Movimenti!$A702,$B$32)</f>
        <v>45596.0</v>
      </c>
      <c r="AE720">
        <f>IF(Movimenti!$L702="",0,N(Movimenti!$L702))</f>
        <v>0</v>
      </c>
    </row>
    <row r="721">
      <c r="AD721">
        <f>IF(AND(ISNUMBER(Movimenti!$A703),Movimenti!$L703&lt;&gt;""),Movimenti!$A703,$B$32)</f>
        <v>45596.0</v>
      </c>
      <c r="AE721">
        <f>IF(Movimenti!$L703="",0,N(Movimenti!$L703))</f>
        <v>0</v>
      </c>
    </row>
    <row r="722">
      <c r="AD722">
        <f>IF(AND(ISNUMBER(Movimenti!$A704),Movimenti!$L704&lt;&gt;""),Movimenti!$A704,$B$32)</f>
        <v>45596.0</v>
      </c>
      <c r="AE722">
        <f>IF(Movimenti!$L704="",0,N(Movimenti!$L704))</f>
        <v>0</v>
      </c>
    </row>
    <row r="723">
      <c r="AD723">
        <f>IF(AND(ISNUMBER(Movimenti!$A705),Movimenti!$L705&lt;&gt;""),Movimenti!$A705,$B$32)</f>
        <v>45596.0</v>
      </c>
      <c r="AE723">
        <f>IF(Movimenti!$L705="",0,N(Movimenti!$L705))</f>
        <v>0</v>
      </c>
    </row>
    <row r="724">
      <c r="AD724">
        <f>IF(AND(ISNUMBER(Movimenti!$A706),Movimenti!$L706&lt;&gt;""),Movimenti!$A706,$B$32)</f>
        <v>45596.0</v>
      </c>
      <c r="AE724">
        <f>IF(Movimenti!$L706="",0,N(Movimenti!$L706))</f>
        <v>0</v>
      </c>
    </row>
    <row r="725">
      <c r="AD725">
        <f>IF(AND(ISNUMBER(Movimenti!$A707),Movimenti!$L707&lt;&gt;""),Movimenti!$A707,$B$32)</f>
        <v>45596.0</v>
      </c>
      <c r="AE725">
        <f>IF(Movimenti!$L707="",0,N(Movimenti!$L707))</f>
        <v>0</v>
      </c>
    </row>
    <row r="726">
      <c r="AD726">
        <f>IF(AND(ISNUMBER(Movimenti!$A708),Movimenti!$L708&lt;&gt;""),Movimenti!$A708,$B$32)</f>
        <v>45596.0</v>
      </c>
      <c r="AE726">
        <f>IF(Movimenti!$L708="",0,N(Movimenti!$L708))</f>
        <v>0</v>
      </c>
    </row>
    <row r="727">
      <c r="AD727">
        <f>IF(AND(ISNUMBER(Movimenti!$A709),Movimenti!$L709&lt;&gt;""),Movimenti!$A709,$B$32)</f>
        <v>45596.0</v>
      </c>
      <c r="AE727">
        <f>IF(Movimenti!$L709="",0,N(Movimenti!$L709))</f>
        <v>0</v>
      </c>
    </row>
    <row r="728">
      <c r="AD728">
        <f>IF(AND(ISNUMBER(Movimenti!$A710),Movimenti!$L710&lt;&gt;""),Movimenti!$A710,$B$32)</f>
        <v>45596.0</v>
      </c>
      <c r="AE728">
        <f>IF(Movimenti!$L710="",0,N(Movimenti!$L710))</f>
        <v>0</v>
      </c>
    </row>
    <row r="729">
      <c r="AD729">
        <f>IF(AND(ISNUMBER(Movimenti!$A711),Movimenti!$L711&lt;&gt;""),Movimenti!$A711,$B$32)</f>
        <v>45596.0</v>
      </c>
      <c r="AE729">
        <f>IF(Movimenti!$L711="",0,N(Movimenti!$L711))</f>
        <v>0</v>
      </c>
    </row>
    <row r="730">
      <c r="AD730">
        <f>IF(AND(ISNUMBER(Movimenti!$A712),Movimenti!$L712&lt;&gt;""),Movimenti!$A712,$B$32)</f>
        <v>45596.0</v>
      </c>
      <c r="AE730">
        <f>IF(Movimenti!$L712="",0,N(Movimenti!$L712))</f>
        <v>0</v>
      </c>
    </row>
    <row r="731">
      <c r="AD731">
        <f>IF(AND(ISNUMBER(Movimenti!$A713),Movimenti!$L713&lt;&gt;""),Movimenti!$A713,$B$32)</f>
        <v>45596.0</v>
      </c>
      <c r="AE731">
        <f>IF(Movimenti!$L713="",0,N(Movimenti!$L713))</f>
        <v>0</v>
      </c>
    </row>
    <row r="732">
      <c r="AD732">
        <f>IF(AND(ISNUMBER(Movimenti!$A714),Movimenti!$L714&lt;&gt;""),Movimenti!$A714,$B$32)</f>
        <v>45596.0</v>
      </c>
      <c r="AE732">
        <f>IF(Movimenti!$L714="",0,N(Movimenti!$L714))</f>
        <v>0</v>
      </c>
    </row>
    <row r="733">
      <c r="AD733">
        <f>IF(AND(ISNUMBER(Movimenti!$A715),Movimenti!$L715&lt;&gt;""),Movimenti!$A715,$B$32)</f>
        <v>45596.0</v>
      </c>
      <c r="AE733">
        <f>IF(Movimenti!$L715="",0,N(Movimenti!$L715))</f>
        <v>0</v>
      </c>
    </row>
    <row r="734">
      <c r="AD734">
        <f>IF(AND(ISNUMBER(Movimenti!$A716),Movimenti!$L716&lt;&gt;""),Movimenti!$A716,$B$32)</f>
        <v>45596.0</v>
      </c>
      <c r="AE734">
        <f>IF(Movimenti!$L716="",0,N(Movimenti!$L716))</f>
        <v>0</v>
      </c>
    </row>
    <row r="735">
      <c r="AD735">
        <f>IF(AND(ISNUMBER(Movimenti!$A717),Movimenti!$L717&lt;&gt;""),Movimenti!$A717,$B$32)</f>
        <v>45596.0</v>
      </c>
      <c r="AE735">
        <f>IF(Movimenti!$L717="",0,N(Movimenti!$L717))</f>
        <v>0</v>
      </c>
    </row>
    <row r="736">
      <c r="AD736">
        <f>IF(AND(ISNUMBER(Movimenti!$A718),Movimenti!$L718&lt;&gt;""),Movimenti!$A718,$B$32)</f>
        <v>45596.0</v>
      </c>
      <c r="AE736">
        <f>IF(Movimenti!$L718="",0,N(Movimenti!$L718))</f>
        <v>0</v>
      </c>
    </row>
    <row r="737">
      <c r="AD737">
        <f>IF(AND(ISNUMBER(Movimenti!$A719),Movimenti!$L719&lt;&gt;""),Movimenti!$A719,$B$32)</f>
        <v>45596.0</v>
      </c>
      <c r="AE737">
        <f>IF(Movimenti!$L719="",0,N(Movimenti!$L719))</f>
        <v>0</v>
      </c>
    </row>
    <row r="738">
      <c r="AD738">
        <f>IF(AND(ISNUMBER(Movimenti!$A720),Movimenti!$L720&lt;&gt;""),Movimenti!$A720,$B$32)</f>
        <v>45596.0</v>
      </c>
      <c r="AE738">
        <f>IF(Movimenti!$L720="",0,N(Movimenti!$L720))</f>
        <v>0</v>
      </c>
    </row>
    <row r="739">
      <c r="AD739">
        <f>IF(AND(ISNUMBER(Movimenti!$A721),Movimenti!$L721&lt;&gt;""),Movimenti!$A721,$B$32)</f>
        <v>45596.0</v>
      </c>
      <c r="AE739">
        <f>IF(Movimenti!$L721="",0,N(Movimenti!$L721))</f>
        <v>0</v>
      </c>
    </row>
    <row r="740">
      <c r="AD740">
        <f>IF(AND(ISNUMBER(Movimenti!$A722),Movimenti!$L722&lt;&gt;""),Movimenti!$A722,$B$32)</f>
        <v>45596.0</v>
      </c>
      <c r="AE740">
        <f>IF(Movimenti!$L722="",0,N(Movimenti!$L722))</f>
        <v>0</v>
      </c>
    </row>
    <row r="741">
      <c r="AD741">
        <f>IF(AND(ISNUMBER(Movimenti!$A723),Movimenti!$L723&lt;&gt;""),Movimenti!$A723,$B$32)</f>
        <v>45596.0</v>
      </c>
      <c r="AE741">
        <f>IF(Movimenti!$L723="",0,N(Movimenti!$L723))</f>
        <v>0</v>
      </c>
    </row>
    <row r="742">
      <c r="AD742">
        <f>IF(AND(ISNUMBER(Movimenti!$A724),Movimenti!$L724&lt;&gt;""),Movimenti!$A724,$B$32)</f>
        <v>45596.0</v>
      </c>
      <c r="AE742">
        <f>IF(Movimenti!$L724="",0,N(Movimenti!$L724))</f>
        <v>0</v>
      </c>
    </row>
    <row r="743">
      <c r="AD743">
        <f>IF(AND(ISNUMBER(Movimenti!$A725),Movimenti!$L725&lt;&gt;""),Movimenti!$A725,$B$32)</f>
        <v>45596.0</v>
      </c>
      <c r="AE743">
        <f>IF(Movimenti!$L725="",0,N(Movimenti!$L725))</f>
        <v>0</v>
      </c>
    </row>
    <row r="744">
      <c r="AD744">
        <f>IF(AND(ISNUMBER(Movimenti!$A726),Movimenti!$L726&lt;&gt;""),Movimenti!$A726,$B$32)</f>
        <v>45596.0</v>
      </c>
      <c r="AE744">
        <f>IF(Movimenti!$L726="",0,N(Movimenti!$L726))</f>
        <v>0</v>
      </c>
    </row>
    <row r="745">
      <c r="AD745">
        <f>IF(AND(ISNUMBER(Movimenti!$A727),Movimenti!$L727&lt;&gt;""),Movimenti!$A727,$B$32)</f>
        <v>45596.0</v>
      </c>
      <c r="AE745">
        <f>IF(Movimenti!$L727="",0,N(Movimenti!$L727))</f>
        <v>0</v>
      </c>
    </row>
    <row r="746">
      <c r="AD746">
        <f>IF(AND(ISNUMBER(Movimenti!$A728),Movimenti!$L728&lt;&gt;""),Movimenti!$A728,$B$32)</f>
        <v>45596.0</v>
      </c>
      <c r="AE746">
        <f>IF(Movimenti!$L728="",0,N(Movimenti!$L728))</f>
        <v>0</v>
      </c>
    </row>
    <row r="747">
      <c r="AD747">
        <f>IF(AND(ISNUMBER(Movimenti!$A729),Movimenti!$L729&lt;&gt;""),Movimenti!$A729,$B$32)</f>
        <v>45596.0</v>
      </c>
      <c r="AE747">
        <f>IF(Movimenti!$L729="",0,N(Movimenti!$L729))</f>
        <v>0</v>
      </c>
    </row>
    <row r="748">
      <c r="AD748">
        <f>IF(AND(ISNUMBER(Movimenti!$A730),Movimenti!$L730&lt;&gt;""),Movimenti!$A730,$B$32)</f>
        <v>45596.0</v>
      </c>
      <c r="AE748">
        <f>IF(Movimenti!$L730="",0,N(Movimenti!$L730))</f>
        <v>0</v>
      </c>
    </row>
    <row r="749">
      <c r="AD749">
        <f>IF(AND(ISNUMBER(Movimenti!$A731),Movimenti!$L731&lt;&gt;""),Movimenti!$A731,$B$32)</f>
        <v>45596.0</v>
      </c>
      <c r="AE749">
        <f>IF(Movimenti!$L731="",0,N(Movimenti!$L731))</f>
        <v>0</v>
      </c>
    </row>
    <row r="750">
      <c r="AD750">
        <f>IF(AND(ISNUMBER(Movimenti!$A732),Movimenti!$L732&lt;&gt;""),Movimenti!$A732,$B$32)</f>
        <v>45596.0</v>
      </c>
      <c r="AE750">
        <f>IF(Movimenti!$L732="",0,N(Movimenti!$L732))</f>
        <v>0</v>
      </c>
    </row>
    <row r="751">
      <c r="AD751">
        <f>IF(AND(ISNUMBER(Movimenti!$A733),Movimenti!$L733&lt;&gt;""),Movimenti!$A733,$B$32)</f>
        <v>45596.0</v>
      </c>
      <c r="AE751">
        <f>IF(Movimenti!$L733="",0,N(Movimenti!$L733))</f>
        <v>0</v>
      </c>
    </row>
    <row r="752">
      <c r="AD752">
        <f>IF(AND(ISNUMBER(Movimenti!$A734),Movimenti!$L734&lt;&gt;""),Movimenti!$A734,$B$32)</f>
        <v>45596.0</v>
      </c>
      <c r="AE752">
        <f>IF(Movimenti!$L734="",0,N(Movimenti!$L734))</f>
        <v>0</v>
      </c>
    </row>
    <row r="753">
      <c r="AD753">
        <f>IF(AND(ISNUMBER(Movimenti!$A735),Movimenti!$L735&lt;&gt;""),Movimenti!$A735,$B$32)</f>
        <v>45596.0</v>
      </c>
      <c r="AE753">
        <f>IF(Movimenti!$L735="",0,N(Movimenti!$L735))</f>
        <v>0</v>
      </c>
    </row>
    <row r="754">
      <c r="AD754">
        <f>IF(AND(ISNUMBER(Movimenti!$A736),Movimenti!$L736&lt;&gt;""),Movimenti!$A736,$B$32)</f>
        <v>45596.0</v>
      </c>
      <c r="AE754">
        <f>IF(Movimenti!$L736="",0,N(Movimenti!$L736))</f>
        <v>0</v>
      </c>
    </row>
    <row r="755">
      <c r="AD755">
        <f>IF(AND(ISNUMBER(Movimenti!$A737),Movimenti!$L737&lt;&gt;""),Movimenti!$A737,$B$32)</f>
        <v>45596.0</v>
      </c>
      <c r="AE755">
        <f>IF(Movimenti!$L737="",0,N(Movimenti!$L737))</f>
        <v>0</v>
      </c>
    </row>
    <row r="756">
      <c r="AD756">
        <f>IF(AND(ISNUMBER(Movimenti!$A738),Movimenti!$L738&lt;&gt;""),Movimenti!$A738,$B$32)</f>
        <v>45596.0</v>
      </c>
      <c r="AE756">
        <f>IF(Movimenti!$L738="",0,N(Movimenti!$L738))</f>
        <v>0</v>
      </c>
    </row>
    <row r="757">
      <c r="AD757">
        <f>IF(AND(ISNUMBER(Movimenti!$A739),Movimenti!$L739&lt;&gt;""),Movimenti!$A739,$B$32)</f>
        <v>45596.0</v>
      </c>
      <c r="AE757">
        <f>IF(Movimenti!$L739="",0,N(Movimenti!$L739))</f>
        <v>0</v>
      </c>
    </row>
    <row r="758">
      <c r="AD758">
        <f>IF(AND(ISNUMBER(Movimenti!$A740),Movimenti!$L740&lt;&gt;""),Movimenti!$A740,$B$32)</f>
        <v>45596.0</v>
      </c>
      <c r="AE758">
        <f>IF(Movimenti!$L740="",0,N(Movimenti!$L740))</f>
        <v>0</v>
      </c>
    </row>
    <row r="759">
      <c r="AD759">
        <f>IF(AND(ISNUMBER(Movimenti!$A741),Movimenti!$L741&lt;&gt;""),Movimenti!$A741,$B$32)</f>
        <v>45596.0</v>
      </c>
      <c r="AE759">
        <f>IF(Movimenti!$L741="",0,N(Movimenti!$L741))</f>
        <v>0</v>
      </c>
    </row>
    <row r="760">
      <c r="AD760">
        <f>IF(AND(ISNUMBER(Movimenti!$A742),Movimenti!$L742&lt;&gt;""),Movimenti!$A742,$B$32)</f>
        <v>45596.0</v>
      </c>
      <c r="AE760">
        <f>IF(Movimenti!$L742="",0,N(Movimenti!$L742))</f>
        <v>0</v>
      </c>
    </row>
    <row r="761">
      <c r="AD761">
        <f>IF(AND(ISNUMBER(Movimenti!$A743),Movimenti!$L743&lt;&gt;""),Movimenti!$A743,$B$32)</f>
        <v>45596.0</v>
      </c>
      <c r="AE761">
        <f>IF(Movimenti!$L743="",0,N(Movimenti!$L743))</f>
        <v>0</v>
      </c>
    </row>
    <row r="762">
      <c r="AD762">
        <f>IF(AND(ISNUMBER(Movimenti!$A744),Movimenti!$L744&lt;&gt;""),Movimenti!$A744,$B$32)</f>
        <v>45596.0</v>
      </c>
      <c r="AE762">
        <f>IF(Movimenti!$L744="",0,N(Movimenti!$L744))</f>
        <v>0</v>
      </c>
    </row>
    <row r="763">
      <c r="AD763">
        <f>IF(AND(ISNUMBER(Movimenti!$A745),Movimenti!$L745&lt;&gt;""),Movimenti!$A745,$B$32)</f>
        <v>45596.0</v>
      </c>
      <c r="AE763">
        <f>IF(Movimenti!$L745="",0,N(Movimenti!$L745))</f>
        <v>0</v>
      </c>
    </row>
    <row r="764">
      <c r="AD764">
        <f>IF(AND(ISNUMBER(Movimenti!$A746),Movimenti!$L746&lt;&gt;""),Movimenti!$A746,$B$32)</f>
        <v>45596.0</v>
      </c>
      <c r="AE764">
        <f>IF(Movimenti!$L746="",0,N(Movimenti!$L746))</f>
        <v>0</v>
      </c>
    </row>
    <row r="765">
      <c r="AD765">
        <f>IF(AND(ISNUMBER(Movimenti!$A747),Movimenti!$L747&lt;&gt;""),Movimenti!$A747,$B$32)</f>
        <v>45596.0</v>
      </c>
      <c r="AE765">
        <f>IF(Movimenti!$L747="",0,N(Movimenti!$L747))</f>
        <v>0</v>
      </c>
    </row>
    <row r="766">
      <c r="AD766">
        <f>IF(AND(ISNUMBER(Movimenti!$A748),Movimenti!$L748&lt;&gt;""),Movimenti!$A748,$B$32)</f>
        <v>45596.0</v>
      </c>
      <c r="AE766">
        <f>IF(Movimenti!$L748="",0,N(Movimenti!$L748))</f>
        <v>0</v>
      </c>
    </row>
    <row r="767">
      <c r="AD767">
        <f>IF(AND(ISNUMBER(Movimenti!$A749),Movimenti!$L749&lt;&gt;""),Movimenti!$A749,$B$32)</f>
        <v>45596.0</v>
      </c>
      <c r="AE767">
        <f>IF(Movimenti!$L749="",0,N(Movimenti!$L749))</f>
        <v>0</v>
      </c>
    </row>
    <row r="768">
      <c r="AD768">
        <f>IF(AND(ISNUMBER(Movimenti!$A750),Movimenti!$L750&lt;&gt;""),Movimenti!$A750,$B$32)</f>
        <v>45596.0</v>
      </c>
      <c r="AE768">
        <f>IF(Movimenti!$L750="",0,N(Movimenti!$L750))</f>
        <v>0</v>
      </c>
    </row>
    <row r="769">
      <c r="AD769">
        <f>IF(AND(ISNUMBER(Movimenti!$A751),Movimenti!$L751&lt;&gt;""),Movimenti!$A751,$B$32)</f>
        <v>45596.0</v>
      </c>
      <c r="AE769">
        <f>IF(Movimenti!$L751="",0,N(Movimenti!$L751))</f>
        <v>0</v>
      </c>
    </row>
    <row r="770">
      <c r="AD770">
        <f>IF(AND(ISNUMBER(Movimenti!$A752),Movimenti!$L752&lt;&gt;""),Movimenti!$A752,$B$32)</f>
        <v>45596.0</v>
      </c>
      <c r="AE770">
        <f>IF(Movimenti!$L752="",0,N(Movimenti!$L752))</f>
        <v>0</v>
      </c>
    </row>
    <row r="771">
      <c r="AD771">
        <f>IF(AND(ISNUMBER(Movimenti!$A753),Movimenti!$L753&lt;&gt;""),Movimenti!$A753,$B$32)</f>
        <v>45596.0</v>
      </c>
      <c r="AE771">
        <f>IF(Movimenti!$L753="",0,N(Movimenti!$L753))</f>
        <v>0</v>
      </c>
    </row>
    <row r="772">
      <c r="AD772">
        <f>IF(AND(ISNUMBER(Movimenti!$A754),Movimenti!$L754&lt;&gt;""),Movimenti!$A754,$B$32)</f>
        <v>45596.0</v>
      </c>
      <c r="AE772">
        <f>IF(Movimenti!$L754="",0,N(Movimenti!$L754))</f>
        <v>0</v>
      </c>
    </row>
    <row r="773">
      <c r="AD773">
        <f>IF(AND(ISNUMBER(Movimenti!$A755),Movimenti!$L755&lt;&gt;""),Movimenti!$A755,$B$32)</f>
        <v>45596.0</v>
      </c>
      <c r="AE773">
        <f>IF(Movimenti!$L755="",0,N(Movimenti!$L755))</f>
        <v>0</v>
      </c>
    </row>
    <row r="774">
      <c r="AD774">
        <f>IF(AND(ISNUMBER(Movimenti!$A756),Movimenti!$L756&lt;&gt;""),Movimenti!$A756,$B$32)</f>
        <v>45596.0</v>
      </c>
      <c r="AE774">
        <f>IF(Movimenti!$L756="",0,N(Movimenti!$L756))</f>
        <v>0</v>
      </c>
    </row>
    <row r="775">
      <c r="AD775">
        <f>IF(AND(ISNUMBER(Movimenti!$A757),Movimenti!$L757&lt;&gt;""),Movimenti!$A757,$B$32)</f>
        <v>45596.0</v>
      </c>
      <c r="AE775">
        <f>IF(Movimenti!$L757="",0,N(Movimenti!$L757))</f>
        <v>0</v>
      </c>
    </row>
    <row r="776">
      <c r="AD776">
        <f>IF(AND(ISNUMBER(Movimenti!$A758),Movimenti!$L758&lt;&gt;""),Movimenti!$A758,$B$32)</f>
        <v>45596.0</v>
      </c>
      <c r="AE776">
        <f>IF(Movimenti!$L758="",0,N(Movimenti!$L758))</f>
        <v>0</v>
      </c>
    </row>
    <row r="777">
      <c r="AD777">
        <f>IF(AND(ISNUMBER(Movimenti!$A759),Movimenti!$L759&lt;&gt;""),Movimenti!$A759,$B$32)</f>
        <v>45596.0</v>
      </c>
      <c r="AE777">
        <f>IF(Movimenti!$L759="",0,N(Movimenti!$L759))</f>
        <v>0</v>
      </c>
    </row>
    <row r="778">
      <c r="AD778">
        <f>IF(AND(ISNUMBER(Movimenti!$A760),Movimenti!$L760&lt;&gt;""),Movimenti!$A760,$B$32)</f>
        <v>45596.0</v>
      </c>
      <c r="AE778">
        <f>IF(Movimenti!$L760="",0,N(Movimenti!$L760))</f>
        <v>0</v>
      </c>
    </row>
    <row r="779">
      <c r="AD779">
        <f>IF(AND(ISNUMBER(Movimenti!$A761),Movimenti!$L761&lt;&gt;""),Movimenti!$A761,$B$32)</f>
        <v>45596.0</v>
      </c>
      <c r="AE779">
        <f>IF(Movimenti!$L761="",0,N(Movimenti!$L761))</f>
        <v>0</v>
      </c>
    </row>
    <row r="780">
      <c r="AD780">
        <f>IF(AND(ISNUMBER(Movimenti!$A762),Movimenti!$L762&lt;&gt;""),Movimenti!$A762,$B$32)</f>
        <v>45596.0</v>
      </c>
      <c r="AE780">
        <f>IF(Movimenti!$L762="",0,N(Movimenti!$L762))</f>
        <v>0</v>
      </c>
    </row>
    <row r="781">
      <c r="AD781">
        <f>IF(AND(ISNUMBER(Movimenti!$A763),Movimenti!$L763&lt;&gt;""),Movimenti!$A763,$B$32)</f>
        <v>45596.0</v>
      </c>
      <c r="AE781">
        <f>IF(Movimenti!$L763="",0,N(Movimenti!$L763))</f>
        <v>0</v>
      </c>
    </row>
    <row r="782">
      <c r="AD782">
        <f>IF(AND(ISNUMBER(Movimenti!$A764),Movimenti!$L764&lt;&gt;""),Movimenti!$A764,$B$32)</f>
        <v>45596.0</v>
      </c>
      <c r="AE782">
        <f>IF(Movimenti!$L764="",0,N(Movimenti!$L764))</f>
        <v>0</v>
      </c>
    </row>
    <row r="783">
      <c r="AD783">
        <f>IF(AND(ISNUMBER(Movimenti!$A765),Movimenti!$L765&lt;&gt;""),Movimenti!$A765,$B$32)</f>
        <v>45596.0</v>
      </c>
      <c r="AE783">
        <f>IF(Movimenti!$L765="",0,N(Movimenti!$L765))</f>
        <v>0</v>
      </c>
    </row>
    <row r="784">
      <c r="AD784">
        <f>IF(AND(ISNUMBER(Movimenti!$A766),Movimenti!$L766&lt;&gt;""),Movimenti!$A766,$B$32)</f>
        <v>45596.0</v>
      </c>
      <c r="AE784">
        <f>IF(Movimenti!$L766="",0,N(Movimenti!$L766))</f>
        <v>0</v>
      </c>
    </row>
    <row r="785">
      <c r="AD785">
        <f>IF(AND(ISNUMBER(Movimenti!$A767),Movimenti!$L767&lt;&gt;""),Movimenti!$A767,$B$32)</f>
        <v>45596.0</v>
      </c>
      <c r="AE785">
        <f>IF(Movimenti!$L767="",0,N(Movimenti!$L767))</f>
        <v>0</v>
      </c>
    </row>
    <row r="786">
      <c r="AD786">
        <f>IF(AND(ISNUMBER(Movimenti!$A768),Movimenti!$L768&lt;&gt;""),Movimenti!$A768,$B$32)</f>
        <v>45596.0</v>
      </c>
      <c r="AE786">
        <f>IF(Movimenti!$L768="",0,N(Movimenti!$L768))</f>
        <v>0</v>
      </c>
    </row>
    <row r="787">
      <c r="AD787">
        <f>IF(AND(ISNUMBER(Movimenti!$A769),Movimenti!$L769&lt;&gt;""),Movimenti!$A769,$B$32)</f>
        <v>45596.0</v>
      </c>
      <c r="AE787">
        <f>IF(Movimenti!$L769="",0,N(Movimenti!$L769))</f>
        <v>0</v>
      </c>
    </row>
    <row r="788">
      <c r="AD788">
        <f>IF(AND(ISNUMBER(Movimenti!$A770),Movimenti!$L770&lt;&gt;""),Movimenti!$A770,$B$32)</f>
        <v>45596.0</v>
      </c>
      <c r="AE788">
        <f>IF(Movimenti!$L770="",0,N(Movimenti!$L770))</f>
        <v>0</v>
      </c>
    </row>
    <row r="789">
      <c r="AD789">
        <f>IF(AND(ISNUMBER(Movimenti!$A771),Movimenti!$L771&lt;&gt;""),Movimenti!$A771,$B$32)</f>
        <v>45596.0</v>
      </c>
      <c r="AE789">
        <f>IF(Movimenti!$L771="",0,N(Movimenti!$L771))</f>
        <v>0</v>
      </c>
    </row>
    <row r="790">
      <c r="AD790">
        <f>IF(AND(ISNUMBER(Movimenti!$A772),Movimenti!$L772&lt;&gt;""),Movimenti!$A772,$B$32)</f>
        <v>45596.0</v>
      </c>
      <c r="AE790">
        <f>IF(Movimenti!$L772="",0,N(Movimenti!$L772))</f>
        <v>0</v>
      </c>
    </row>
    <row r="791">
      <c r="AD791">
        <f>IF(AND(ISNUMBER(Movimenti!$A773),Movimenti!$L773&lt;&gt;""),Movimenti!$A773,$B$32)</f>
        <v>45596.0</v>
      </c>
      <c r="AE791">
        <f>IF(Movimenti!$L773="",0,N(Movimenti!$L773))</f>
        <v>0</v>
      </c>
    </row>
    <row r="792">
      <c r="AD792">
        <f>IF(AND(ISNUMBER(Movimenti!$A774),Movimenti!$L774&lt;&gt;""),Movimenti!$A774,$B$32)</f>
        <v>45596.0</v>
      </c>
      <c r="AE792">
        <f>IF(Movimenti!$L774="",0,N(Movimenti!$L774))</f>
        <v>0</v>
      </c>
    </row>
    <row r="793">
      <c r="AD793">
        <f>IF(AND(ISNUMBER(Movimenti!$A775),Movimenti!$L775&lt;&gt;""),Movimenti!$A775,$B$32)</f>
        <v>45596.0</v>
      </c>
      <c r="AE793">
        <f>IF(Movimenti!$L775="",0,N(Movimenti!$L775))</f>
        <v>0</v>
      </c>
    </row>
    <row r="794">
      <c r="AD794">
        <f>IF(AND(ISNUMBER(Movimenti!$A776),Movimenti!$L776&lt;&gt;""),Movimenti!$A776,$B$32)</f>
        <v>45596.0</v>
      </c>
      <c r="AE794">
        <f>IF(Movimenti!$L776="",0,N(Movimenti!$L776))</f>
        <v>0</v>
      </c>
    </row>
    <row r="795">
      <c r="AD795">
        <f>IF(AND(ISNUMBER(Movimenti!$A777),Movimenti!$L777&lt;&gt;""),Movimenti!$A777,$B$32)</f>
        <v>45596.0</v>
      </c>
      <c r="AE795">
        <f>IF(Movimenti!$L777="",0,N(Movimenti!$L777))</f>
        <v>0</v>
      </c>
    </row>
    <row r="796">
      <c r="AD796">
        <f>IF(AND(ISNUMBER(Movimenti!$A778),Movimenti!$L778&lt;&gt;""),Movimenti!$A778,$B$32)</f>
        <v>45596.0</v>
      </c>
      <c r="AE796">
        <f>IF(Movimenti!$L778="",0,N(Movimenti!$L778))</f>
        <v>0</v>
      </c>
    </row>
    <row r="797">
      <c r="AD797">
        <f>IF(AND(ISNUMBER(Movimenti!$A779),Movimenti!$L779&lt;&gt;""),Movimenti!$A779,$B$32)</f>
        <v>45596.0</v>
      </c>
      <c r="AE797">
        <f>IF(Movimenti!$L779="",0,N(Movimenti!$L779))</f>
        <v>0</v>
      </c>
    </row>
    <row r="798">
      <c r="AD798">
        <f>IF(AND(ISNUMBER(Movimenti!$A780),Movimenti!$L780&lt;&gt;""),Movimenti!$A780,$B$32)</f>
        <v>45596.0</v>
      </c>
      <c r="AE798">
        <f>IF(Movimenti!$L780="",0,N(Movimenti!$L780))</f>
        <v>0</v>
      </c>
    </row>
    <row r="799">
      <c r="AD799">
        <f>IF(AND(ISNUMBER(Movimenti!$A781),Movimenti!$L781&lt;&gt;""),Movimenti!$A781,$B$32)</f>
        <v>45596.0</v>
      </c>
      <c r="AE799">
        <f>IF(Movimenti!$L781="",0,N(Movimenti!$L781))</f>
        <v>0</v>
      </c>
    </row>
    <row r="800">
      <c r="AD800">
        <f>IF(AND(ISNUMBER(Movimenti!$A782),Movimenti!$L782&lt;&gt;""),Movimenti!$A782,$B$32)</f>
        <v>45596.0</v>
      </c>
      <c r="AE800">
        <f>IF(Movimenti!$L782="",0,N(Movimenti!$L782))</f>
        <v>0</v>
      </c>
    </row>
    <row r="801">
      <c r="AD801">
        <f>IF(AND(ISNUMBER(Movimenti!$A783),Movimenti!$L783&lt;&gt;""),Movimenti!$A783,$B$32)</f>
        <v>45596.0</v>
      </c>
      <c r="AE801">
        <f>IF(Movimenti!$L783="",0,N(Movimenti!$L783))</f>
        <v>0</v>
      </c>
    </row>
    <row r="802">
      <c r="AD802">
        <f>IF(AND(ISNUMBER(Movimenti!$A784),Movimenti!$L784&lt;&gt;""),Movimenti!$A784,$B$32)</f>
        <v>45596.0</v>
      </c>
      <c r="AE802">
        <f>IF(Movimenti!$L784="",0,N(Movimenti!$L784))</f>
        <v>0</v>
      </c>
    </row>
    <row r="803">
      <c r="AD803">
        <f>IF(AND(ISNUMBER(Movimenti!$A785),Movimenti!$L785&lt;&gt;""),Movimenti!$A785,$B$32)</f>
        <v>45596.0</v>
      </c>
      <c r="AE803">
        <f>IF(Movimenti!$L785="",0,N(Movimenti!$L785))</f>
        <v>0</v>
      </c>
    </row>
    <row r="804">
      <c r="AD804">
        <f>IF(AND(ISNUMBER(Movimenti!$A786),Movimenti!$L786&lt;&gt;""),Movimenti!$A786,$B$32)</f>
        <v>45596.0</v>
      </c>
      <c r="AE804">
        <f>IF(Movimenti!$L786="",0,N(Movimenti!$L786))</f>
        <v>0</v>
      </c>
    </row>
    <row r="805">
      <c r="AD805">
        <f>IF(AND(ISNUMBER(Movimenti!$A787),Movimenti!$L787&lt;&gt;""),Movimenti!$A787,$B$32)</f>
        <v>45596.0</v>
      </c>
      <c r="AE805">
        <f>IF(Movimenti!$L787="",0,N(Movimenti!$L787))</f>
        <v>0</v>
      </c>
    </row>
    <row r="806">
      <c r="AD806">
        <f>IF(AND(ISNUMBER(Movimenti!$A788),Movimenti!$L788&lt;&gt;""),Movimenti!$A788,$B$32)</f>
        <v>45596.0</v>
      </c>
      <c r="AE806">
        <f>IF(Movimenti!$L788="",0,N(Movimenti!$L788))</f>
        <v>0</v>
      </c>
    </row>
    <row r="807">
      <c r="AD807">
        <f>IF(AND(ISNUMBER(Movimenti!$A789),Movimenti!$L789&lt;&gt;""),Movimenti!$A789,$B$32)</f>
        <v>45596.0</v>
      </c>
      <c r="AE807">
        <f>IF(Movimenti!$L789="",0,N(Movimenti!$L789))</f>
        <v>0</v>
      </c>
    </row>
    <row r="808">
      <c r="AD808">
        <f>IF(AND(ISNUMBER(Movimenti!$A790),Movimenti!$L790&lt;&gt;""),Movimenti!$A790,$B$32)</f>
        <v>45596.0</v>
      </c>
      <c r="AE808">
        <f>IF(Movimenti!$L790="",0,N(Movimenti!$L790))</f>
        <v>0</v>
      </c>
    </row>
    <row r="809">
      <c r="AD809">
        <f>IF(AND(ISNUMBER(Movimenti!$A791),Movimenti!$L791&lt;&gt;""),Movimenti!$A791,$B$32)</f>
        <v>45596.0</v>
      </c>
      <c r="AE809">
        <f>IF(Movimenti!$L791="",0,N(Movimenti!$L791))</f>
        <v>0</v>
      </c>
    </row>
    <row r="810">
      <c r="AD810">
        <f>IF(AND(ISNUMBER(Movimenti!$A792),Movimenti!$L792&lt;&gt;""),Movimenti!$A792,$B$32)</f>
        <v>45596.0</v>
      </c>
      <c r="AE810">
        <f>IF(Movimenti!$L792="",0,N(Movimenti!$L792))</f>
        <v>0</v>
      </c>
    </row>
    <row r="811">
      <c r="AD811">
        <f>IF(AND(ISNUMBER(Movimenti!$A793),Movimenti!$L793&lt;&gt;""),Movimenti!$A793,$B$32)</f>
        <v>45596.0</v>
      </c>
      <c r="AE811">
        <f>IF(Movimenti!$L793="",0,N(Movimenti!$L793))</f>
        <v>0</v>
      </c>
    </row>
    <row r="812">
      <c r="AD812">
        <f>IF(AND(ISNUMBER(Movimenti!$A794),Movimenti!$L794&lt;&gt;""),Movimenti!$A794,$B$32)</f>
        <v>45596.0</v>
      </c>
      <c r="AE812">
        <f>IF(Movimenti!$L794="",0,N(Movimenti!$L794))</f>
        <v>0</v>
      </c>
    </row>
    <row r="813">
      <c r="AD813">
        <f>IF(AND(ISNUMBER(Movimenti!$A795),Movimenti!$L795&lt;&gt;""),Movimenti!$A795,$B$32)</f>
        <v>45596.0</v>
      </c>
      <c r="AE813">
        <f>IF(Movimenti!$L795="",0,N(Movimenti!$L795))</f>
        <v>0</v>
      </c>
    </row>
    <row r="814">
      <c r="AD814">
        <f>IF(AND(ISNUMBER(Movimenti!$A796),Movimenti!$L796&lt;&gt;""),Movimenti!$A796,$B$32)</f>
        <v>45596.0</v>
      </c>
      <c r="AE814">
        <f>IF(Movimenti!$L796="",0,N(Movimenti!$L796))</f>
        <v>0</v>
      </c>
    </row>
    <row r="815">
      <c r="AD815">
        <f>IF(AND(ISNUMBER(Movimenti!$A797),Movimenti!$L797&lt;&gt;""),Movimenti!$A797,$B$32)</f>
        <v>45596.0</v>
      </c>
      <c r="AE815">
        <f>IF(Movimenti!$L797="",0,N(Movimenti!$L797))</f>
        <v>0</v>
      </c>
    </row>
    <row r="816">
      <c r="AD816">
        <f>IF(AND(ISNUMBER(Movimenti!$A798),Movimenti!$L798&lt;&gt;""),Movimenti!$A798,$B$32)</f>
        <v>45596.0</v>
      </c>
      <c r="AE816">
        <f>IF(Movimenti!$L798="",0,N(Movimenti!$L798))</f>
        <v>0</v>
      </c>
    </row>
    <row r="817">
      <c r="AD817">
        <f>IF(AND(ISNUMBER(Movimenti!$A799),Movimenti!$L799&lt;&gt;""),Movimenti!$A799,$B$32)</f>
        <v>45596.0</v>
      </c>
      <c r="AE817">
        <f>IF(Movimenti!$L799="",0,N(Movimenti!$L799))</f>
        <v>0</v>
      </c>
    </row>
    <row r="818">
      <c r="AD818">
        <f>IF(AND(ISNUMBER(Movimenti!$A800),Movimenti!$L800&lt;&gt;""),Movimenti!$A800,$B$32)</f>
        <v>45596.0</v>
      </c>
      <c r="AE818">
        <f>IF(Movimenti!$L800="",0,N(Movimenti!$L800))</f>
        <v>0</v>
      </c>
    </row>
    <row r="819">
      <c r="AD819">
        <f>IF(AND(ISNUMBER(Movimenti!$A801),Movimenti!$L801&lt;&gt;""),Movimenti!$A801,$B$32)</f>
        <v>45596.0</v>
      </c>
      <c r="AE819">
        <f>IF(Movimenti!$L801="",0,N(Movimenti!$L801))</f>
        <v>0</v>
      </c>
    </row>
    <row r="820">
      <c r="AD820">
        <f>IF(AND(ISNUMBER(Movimenti!$A802),Movimenti!$L802&lt;&gt;""),Movimenti!$A802,$B$32)</f>
        <v>45596.0</v>
      </c>
      <c r="AE820">
        <f>IF(Movimenti!$L802="",0,N(Movimenti!$L802))</f>
        <v>0</v>
      </c>
    </row>
    <row r="821">
      <c r="AD821">
        <f>IF(AND(ISNUMBER(Movimenti!$A803),Movimenti!$L803&lt;&gt;""),Movimenti!$A803,$B$32)</f>
        <v>45596.0</v>
      </c>
      <c r="AE821">
        <f>IF(Movimenti!$L803="",0,N(Movimenti!$L803))</f>
        <v>0</v>
      </c>
    </row>
    <row r="822">
      <c r="AD822">
        <f>IF(AND(ISNUMBER(Movimenti!$A804),Movimenti!$L804&lt;&gt;""),Movimenti!$A804,$B$32)</f>
        <v>45596.0</v>
      </c>
      <c r="AE822">
        <f>IF(Movimenti!$L804="",0,N(Movimenti!$L804))</f>
        <v>0</v>
      </c>
    </row>
    <row r="823">
      <c r="AD823">
        <f>IF(AND(ISNUMBER(Movimenti!$A805),Movimenti!$L805&lt;&gt;""),Movimenti!$A805,$B$32)</f>
        <v>45596.0</v>
      </c>
      <c r="AE823">
        <f>IF(Movimenti!$L805="",0,N(Movimenti!$L805))</f>
        <v>0</v>
      </c>
    </row>
    <row r="824">
      <c r="AD824">
        <f>IF(AND(ISNUMBER(Movimenti!$A806),Movimenti!$L806&lt;&gt;""),Movimenti!$A806,$B$32)</f>
        <v>45596.0</v>
      </c>
      <c r="AE824">
        <f>IF(Movimenti!$L806="",0,N(Movimenti!$L806))</f>
        <v>0</v>
      </c>
    </row>
    <row r="825">
      <c r="AD825">
        <f>IF(AND(ISNUMBER(Movimenti!$A807),Movimenti!$L807&lt;&gt;""),Movimenti!$A807,$B$32)</f>
        <v>45596.0</v>
      </c>
      <c r="AE825">
        <f>IF(Movimenti!$L807="",0,N(Movimenti!$L807))</f>
        <v>0</v>
      </c>
    </row>
    <row r="826">
      <c r="AD826">
        <f>IF(AND(ISNUMBER(Movimenti!$A808),Movimenti!$L808&lt;&gt;""),Movimenti!$A808,$B$32)</f>
        <v>45596.0</v>
      </c>
      <c r="AE826">
        <f>IF(Movimenti!$L808="",0,N(Movimenti!$L808))</f>
        <v>0</v>
      </c>
    </row>
    <row r="827">
      <c r="AD827">
        <f>IF(AND(ISNUMBER(Movimenti!$A809),Movimenti!$L809&lt;&gt;""),Movimenti!$A809,$B$32)</f>
        <v>45596.0</v>
      </c>
      <c r="AE827">
        <f>IF(Movimenti!$L809="",0,N(Movimenti!$L809))</f>
        <v>0</v>
      </c>
    </row>
    <row r="828">
      <c r="AD828">
        <f>IF(AND(ISNUMBER(Movimenti!$A810),Movimenti!$L810&lt;&gt;""),Movimenti!$A810,$B$32)</f>
        <v>45596.0</v>
      </c>
      <c r="AE828">
        <f>IF(Movimenti!$L810="",0,N(Movimenti!$L810))</f>
        <v>0</v>
      </c>
    </row>
    <row r="829">
      <c r="AD829">
        <f>IF(AND(ISNUMBER(Movimenti!$A811),Movimenti!$L811&lt;&gt;""),Movimenti!$A811,$B$32)</f>
        <v>45596.0</v>
      </c>
      <c r="AE829">
        <f>IF(Movimenti!$L811="",0,N(Movimenti!$L811))</f>
        <v>0</v>
      </c>
    </row>
    <row r="830">
      <c r="AD830">
        <f>IF(AND(ISNUMBER(Movimenti!$A812),Movimenti!$L812&lt;&gt;""),Movimenti!$A812,$B$32)</f>
        <v>45596.0</v>
      </c>
      <c r="AE830">
        <f>IF(Movimenti!$L812="",0,N(Movimenti!$L812))</f>
        <v>0</v>
      </c>
    </row>
    <row r="831">
      <c r="AD831">
        <f>IF(AND(ISNUMBER(Movimenti!$A813),Movimenti!$L813&lt;&gt;""),Movimenti!$A813,$B$32)</f>
        <v>45596.0</v>
      </c>
      <c r="AE831">
        <f>IF(Movimenti!$L813="",0,N(Movimenti!$L813))</f>
        <v>0</v>
      </c>
    </row>
    <row r="832">
      <c r="AD832">
        <f>IF(AND(ISNUMBER(Movimenti!$A814),Movimenti!$L814&lt;&gt;""),Movimenti!$A814,$B$32)</f>
        <v>45596.0</v>
      </c>
      <c r="AE832">
        <f>IF(Movimenti!$L814="",0,N(Movimenti!$L814))</f>
        <v>0</v>
      </c>
    </row>
    <row r="833">
      <c r="AD833">
        <f>IF(AND(ISNUMBER(Movimenti!$A815),Movimenti!$L815&lt;&gt;""),Movimenti!$A815,$B$32)</f>
        <v>45596.0</v>
      </c>
      <c r="AE833">
        <f>IF(Movimenti!$L815="",0,N(Movimenti!$L815))</f>
        <v>0</v>
      </c>
    </row>
    <row r="834">
      <c r="AD834">
        <f>IF(AND(ISNUMBER(Movimenti!$A816),Movimenti!$L816&lt;&gt;""),Movimenti!$A816,$B$32)</f>
        <v>45596.0</v>
      </c>
      <c r="AE834">
        <f>IF(Movimenti!$L816="",0,N(Movimenti!$L816))</f>
        <v>0</v>
      </c>
    </row>
    <row r="835">
      <c r="AD835">
        <f>IF(AND(ISNUMBER(Movimenti!$A817),Movimenti!$L817&lt;&gt;""),Movimenti!$A817,$B$32)</f>
        <v>45596.0</v>
      </c>
      <c r="AE835">
        <f>IF(Movimenti!$L817="",0,N(Movimenti!$L817))</f>
        <v>0</v>
      </c>
    </row>
    <row r="836">
      <c r="AD836">
        <f>IF(AND(ISNUMBER(Movimenti!$A818),Movimenti!$L818&lt;&gt;""),Movimenti!$A818,$B$32)</f>
        <v>45596.0</v>
      </c>
      <c r="AE836">
        <f>IF(Movimenti!$L818="",0,N(Movimenti!$L818))</f>
        <v>0</v>
      </c>
    </row>
    <row r="837">
      <c r="AD837">
        <f>IF(AND(ISNUMBER(Movimenti!$A819),Movimenti!$L819&lt;&gt;""),Movimenti!$A819,$B$32)</f>
        <v>45596.0</v>
      </c>
      <c r="AE837">
        <f>IF(Movimenti!$L819="",0,N(Movimenti!$L819))</f>
        <v>0</v>
      </c>
    </row>
    <row r="838">
      <c r="AD838">
        <f>IF(AND(ISNUMBER(Movimenti!$A820),Movimenti!$L820&lt;&gt;""),Movimenti!$A820,$B$32)</f>
        <v>45596.0</v>
      </c>
      <c r="AE838">
        <f>IF(Movimenti!$L820="",0,N(Movimenti!$L820))</f>
        <v>0</v>
      </c>
    </row>
    <row r="839">
      <c r="AD839">
        <f>IF(AND(ISNUMBER(Movimenti!$A821),Movimenti!$L821&lt;&gt;""),Movimenti!$A821,$B$32)</f>
        <v>45596.0</v>
      </c>
      <c r="AE839">
        <f>IF(Movimenti!$L821="",0,N(Movimenti!$L821))</f>
        <v>0</v>
      </c>
    </row>
    <row r="840">
      <c r="AD840">
        <f>IF(AND(ISNUMBER(Movimenti!$A822),Movimenti!$L822&lt;&gt;""),Movimenti!$A822,$B$32)</f>
        <v>45596.0</v>
      </c>
      <c r="AE840">
        <f>IF(Movimenti!$L822="",0,N(Movimenti!$L822))</f>
        <v>0</v>
      </c>
    </row>
    <row r="841">
      <c r="AD841">
        <f>IF(AND(ISNUMBER(Movimenti!$A823),Movimenti!$L823&lt;&gt;""),Movimenti!$A823,$B$32)</f>
        <v>45596.0</v>
      </c>
      <c r="AE841">
        <f>IF(Movimenti!$L823="",0,N(Movimenti!$L823))</f>
        <v>0</v>
      </c>
    </row>
    <row r="842">
      <c r="AD842">
        <f>IF(AND(ISNUMBER(Movimenti!$A824),Movimenti!$L824&lt;&gt;""),Movimenti!$A824,$B$32)</f>
        <v>45596.0</v>
      </c>
      <c r="AE842">
        <f>IF(Movimenti!$L824="",0,N(Movimenti!$L824))</f>
        <v>0</v>
      </c>
    </row>
    <row r="843">
      <c r="AD843">
        <f>IF(AND(ISNUMBER(Movimenti!$A825),Movimenti!$L825&lt;&gt;""),Movimenti!$A825,$B$32)</f>
        <v>45596.0</v>
      </c>
      <c r="AE843">
        <f>IF(Movimenti!$L825="",0,N(Movimenti!$L825))</f>
        <v>0</v>
      </c>
    </row>
    <row r="844">
      <c r="AD844">
        <f>IF(AND(ISNUMBER(Movimenti!$A826),Movimenti!$L826&lt;&gt;""),Movimenti!$A826,$B$32)</f>
        <v>45596.0</v>
      </c>
      <c r="AE844">
        <f>IF(Movimenti!$L826="",0,N(Movimenti!$L826))</f>
        <v>0</v>
      </c>
    </row>
    <row r="845">
      <c r="AD845">
        <f>IF(AND(ISNUMBER(Movimenti!$A827),Movimenti!$L827&lt;&gt;""),Movimenti!$A827,$B$32)</f>
        <v>45596.0</v>
      </c>
      <c r="AE845">
        <f>IF(Movimenti!$L827="",0,N(Movimenti!$L827))</f>
        <v>0</v>
      </c>
    </row>
    <row r="846">
      <c r="AD846">
        <f>IF(AND(ISNUMBER(Movimenti!$A828),Movimenti!$L828&lt;&gt;""),Movimenti!$A828,$B$32)</f>
        <v>45596.0</v>
      </c>
      <c r="AE846">
        <f>IF(Movimenti!$L828="",0,N(Movimenti!$L828))</f>
        <v>0</v>
      </c>
    </row>
    <row r="847">
      <c r="AD847">
        <f>IF(AND(ISNUMBER(Movimenti!$A829),Movimenti!$L829&lt;&gt;""),Movimenti!$A829,$B$32)</f>
        <v>45596.0</v>
      </c>
      <c r="AE847">
        <f>IF(Movimenti!$L829="",0,N(Movimenti!$L829))</f>
        <v>0</v>
      </c>
    </row>
    <row r="848">
      <c r="AD848">
        <f>IF(AND(ISNUMBER(Movimenti!$A830),Movimenti!$L830&lt;&gt;""),Movimenti!$A830,$B$32)</f>
        <v>45596.0</v>
      </c>
      <c r="AE848">
        <f>IF(Movimenti!$L830="",0,N(Movimenti!$L830))</f>
        <v>0</v>
      </c>
    </row>
    <row r="849">
      <c r="AD849">
        <f>IF(AND(ISNUMBER(Movimenti!$A831),Movimenti!$L831&lt;&gt;""),Movimenti!$A831,$B$32)</f>
        <v>45596.0</v>
      </c>
      <c r="AE849">
        <f>IF(Movimenti!$L831="",0,N(Movimenti!$L831))</f>
        <v>0</v>
      </c>
    </row>
    <row r="850">
      <c r="AD850">
        <f>IF(AND(ISNUMBER(Movimenti!$A832),Movimenti!$L832&lt;&gt;""),Movimenti!$A832,$B$32)</f>
        <v>45596.0</v>
      </c>
      <c r="AE850">
        <f>IF(Movimenti!$L832="",0,N(Movimenti!$L832))</f>
        <v>0</v>
      </c>
    </row>
    <row r="851">
      <c r="AD851">
        <f>IF(AND(ISNUMBER(Movimenti!$A833),Movimenti!$L833&lt;&gt;""),Movimenti!$A833,$B$32)</f>
        <v>45596.0</v>
      </c>
      <c r="AE851">
        <f>IF(Movimenti!$L833="",0,N(Movimenti!$L833))</f>
        <v>0</v>
      </c>
    </row>
    <row r="852">
      <c r="AD852">
        <f>IF(AND(ISNUMBER(Movimenti!$A834),Movimenti!$L834&lt;&gt;""),Movimenti!$A834,$B$32)</f>
        <v>45596.0</v>
      </c>
      <c r="AE852">
        <f>IF(Movimenti!$L834="",0,N(Movimenti!$L834))</f>
        <v>0</v>
      </c>
    </row>
    <row r="853">
      <c r="AD853">
        <f>IF(AND(ISNUMBER(Movimenti!$A835),Movimenti!$L835&lt;&gt;""),Movimenti!$A835,$B$32)</f>
        <v>45596.0</v>
      </c>
      <c r="AE853">
        <f>IF(Movimenti!$L835="",0,N(Movimenti!$L835))</f>
        <v>0</v>
      </c>
    </row>
    <row r="854">
      <c r="AD854">
        <f>IF(AND(ISNUMBER(Movimenti!$A836),Movimenti!$L836&lt;&gt;""),Movimenti!$A836,$B$32)</f>
        <v>45596.0</v>
      </c>
      <c r="AE854">
        <f>IF(Movimenti!$L836="",0,N(Movimenti!$L836))</f>
        <v>0</v>
      </c>
    </row>
    <row r="855">
      <c r="AD855">
        <f>IF(AND(ISNUMBER(Movimenti!$A837),Movimenti!$L837&lt;&gt;""),Movimenti!$A837,$B$32)</f>
        <v>45596.0</v>
      </c>
      <c r="AE855">
        <f>IF(Movimenti!$L837="",0,N(Movimenti!$L837))</f>
        <v>0</v>
      </c>
    </row>
    <row r="856">
      <c r="AD856">
        <f>IF(AND(ISNUMBER(Movimenti!$A838),Movimenti!$L838&lt;&gt;""),Movimenti!$A838,$B$32)</f>
        <v>45596.0</v>
      </c>
      <c r="AE856">
        <f>IF(Movimenti!$L838="",0,N(Movimenti!$L838))</f>
        <v>0</v>
      </c>
    </row>
    <row r="857">
      <c r="AD857">
        <f>IF(AND(ISNUMBER(Movimenti!$A839),Movimenti!$L839&lt;&gt;""),Movimenti!$A839,$B$32)</f>
        <v>45596.0</v>
      </c>
      <c r="AE857">
        <f>IF(Movimenti!$L839="",0,N(Movimenti!$L839))</f>
        <v>0</v>
      </c>
    </row>
    <row r="858">
      <c r="AD858">
        <f>IF(AND(ISNUMBER(Movimenti!$A840),Movimenti!$L840&lt;&gt;""),Movimenti!$A840,$B$32)</f>
        <v>45596.0</v>
      </c>
      <c r="AE858">
        <f>IF(Movimenti!$L840="",0,N(Movimenti!$L840))</f>
        <v>0</v>
      </c>
    </row>
    <row r="859">
      <c r="AD859">
        <f>IF(AND(ISNUMBER(Movimenti!$A841),Movimenti!$L841&lt;&gt;""),Movimenti!$A841,$B$32)</f>
        <v>45596.0</v>
      </c>
      <c r="AE859">
        <f>IF(Movimenti!$L841="",0,N(Movimenti!$L841))</f>
        <v>0</v>
      </c>
    </row>
    <row r="860">
      <c r="AD860">
        <f>IF(AND(ISNUMBER(Movimenti!$A842),Movimenti!$L842&lt;&gt;""),Movimenti!$A842,$B$32)</f>
        <v>45596.0</v>
      </c>
      <c r="AE860">
        <f>IF(Movimenti!$L842="",0,N(Movimenti!$L842))</f>
        <v>0</v>
      </c>
    </row>
    <row r="861">
      <c r="AD861">
        <f>IF(AND(ISNUMBER(Movimenti!$A843),Movimenti!$L843&lt;&gt;""),Movimenti!$A843,$B$32)</f>
        <v>45596.0</v>
      </c>
      <c r="AE861">
        <f>IF(Movimenti!$L843="",0,N(Movimenti!$L843))</f>
        <v>0</v>
      </c>
    </row>
    <row r="862">
      <c r="AD862">
        <f>IF(AND(ISNUMBER(Movimenti!$A844),Movimenti!$L844&lt;&gt;""),Movimenti!$A844,$B$32)</f>
        <v>45596.0</v>
      </c>
      <c r="AE862">
        <f>IF(Movimenti!$L844="",0,N(Movimenti!$L844))</f>
        <v>0</v>
      </c>
    </row>
    <row r="863">
      <c r="AD863">
        <f>IF(AND(ISNUMBER(Movimenti!$A845),Movimenti!$L845&lt;&gt;""),Movimenti!$A845,$B$32)</f>
        <v>45596.0</v>
      </c>
      <c r="AE863">
        <f>IF(Movimenti!$L845="",0,N(Movimenti!$L845))</f>
        <v>0</v>
      </c>
    </row>
    <row r="864">
      <c r="AD864">
        <f>IF(AND(ISNUMBER(Movimenti!$A846),Movimenti!$L846&lt;&gt;""),Movimenti!$A846,$B$32)</f>
        <v>45596.0</v>
      </c>
      <c r="AE864">
        <f>IF(Movimenti!$L846="",0,N(Movimenti!$L846))</f>
        <v>0</v>
      </c>
    </row>
    <row r="865">
      <c r="AD865">
        <f>IF(AND(ISNUMBER(Movimenti!$A847),Movimenti!$L847&lt;&gt;""),Movimenti!$A847,$B$32)</f>
        <v>45596.0</v>
      </c>
      <c r="AE865">
        <f>IF(Movimenti!$L847="",0,N(Movimenti!$L847))</f>
        <v>0</v>
      </c>
    </row>
    <row r="866">
      <c r="AD866">
        <f>IF(AND(ISNUMBER(Movimenti!$A848),Movimenti!$L848&lt;&gt;""),Movimenti!$A848,$B$32)</f>
        <v>45596.0</v>
      </c>
      <c r="AE866">
        <f>IF(Movimenti!$L848="",0,N(Movimenti!$L848))</f>
        <v>0</v>
      </c>
    </row>
    <row r="867">
      <c r="AD867">
        <f>IF(AND(ISNUMBER(Movimenti!$A849),Movimenti!$L849&lt;&gt;""),Movimenti!$A849,$B$32)</f>
        <v>45596.0</v>
      </c>
      <c r="AE867">
        <f>IF(Movimenti!$L849="",0,N(Movimenti!$L849))</f>
        <v>0</v>
      </c>
    </row>
    <row r="868">
      <c r="AD868">
        <f>IF(AND(ISNUMBER(Movimenti!$A850),Movimenti!$L850&lt;&gt;""),Movimenti!$A850,$B$32)</f>
        <v>45596.0</v>
      </c>
      <c r="AE868">
        <f>IF(Movimenti!$L850="",0,N(Movimenti!$L850))</f>
        <v>0</v>
      </c>
    </row>
    <row r="869">
      <c r="AD869">
        <f>IF(AND(ISNUMBER(Movimenti!$A851),Movimenti!$L851&lt;&gt;""),Movimenti!$A851,$B$32)</f>
        <v>45596.0</v>
      </c>
      <c r="AE869">
        <f>IF(Movimenti!$L851="",0,N(Movimenti!$L851))</f>
        <v>0</v>
      </c>
    </row>
    <row r="870">
      <c r="AD870">
        <f>IF(AND(ISNUMBER(Movimenti!$A852),Movimenti!$L852&lt;&gt;""),Movimenti!$A852,$B$32)</f>
        <v>45596.0</v>
      </c>
      <c r="AE870">
        <f>IF(Movimenti!$L852="",0,N(Movimenti!$L852))</f>
        <v>0</v>
      </c>
    </row>
    <row r="871">
      <c r="AD871">
        <f>IF(AND(ISNUMBER(Movimenti!$A853),Movimenti!$L853&lt;&gt;""),Movimenti!$A853,$B$32)</f>
        <v>45596.0</v>
      </c>
      <c r="AE871">
        <f>IF(Movimenti!$L853="",0,N(Movimenti!$L853))</f>
        <v>0</v>
      </c>
    </row>
    <row r="872">
      <c r="AD872">
        <f>IF(AND(ISNUMBER(Movimenti!$A854),Movimenti!$L854&lt;&gt;""),Movimenti!$A854,$B$32)</f>
        <v>45596.0</v>
      </c>
      <c r="AE872">
        <f>IF(Movimenti!$L854="",0,N(Movimenti!$L854))</f>
        <v>0</v>
      </c>
    </row>
    <row r="873">
      <c r="AD873">
        <f>IF(AND(ISNUMBER(Movimenti!$A855),Movimenti!$L855&lt;&gt;""),Movimenti!$A855,$B$32)</f>
        <v>45596.0</v>
      </c>
      <c r="AE873">
        <f>IF(Movimenti!$L855="",0,N(Movimenti!$L855))</f>
        <v>0</v>
      </c>
    </row>
    <row r="874">
      <c r="AD874">
        <f>IF(AND(ISNUMBER(Movimenti!$A856),Movimenti!$L856&lt;&gt;""),Movimenti!$A856,$B$32)</f>
        <v>45596.0</v>
      </c>
      <c r="AE874">
        <f>IF(Movimenti!$L856="",0,N(Movimenti!$L856))</f>
        <v>0</v>
      </c>
    </row>
    <row r="875">
      <c r="AD875">
        <f>IF(AND(ISNUMBER(Movimenti!$A857),Movimenti!$L857&lt;&gt;""),Movimenti!$A857,$B$32)</f>
        <v>45596.0</v>
      </c>
      <c r="AE875">
        <f>IF(Movimenti!$L857="",0,N(Movimenti!$L857))</f>
        <v>0</v>
      </c>
    </row>
    <row r="876">
      <c r="AD876">
        <f>IF(AND(ISNUMBER(Movimenti!$A858),Movimenti!$L858&lt;&gt;""),Movimenti!$A858,$B$32)</f>
        <v>45596.0</v>
      </c>
      <c r="AE876">
        <f>IF(Movimenti!$L858="",0,N(Movimenti!$L858))</f>
        <v>0</v>
      </c>
    </row>
    <row r="877">
      <c r="AD877">
        <f>IF(AND(ISNUMBER(Movimenti!$A859),Movimenti!$L859&lt;&gt;""),Movimenti!$A859,$B$32)</f>
        <v>45596.0</v>
      </c>
      <c r="AE877">
        <f>IF(Movimenti!$L859="",0,N(Movimenti!$L859))</f>
        <v>0</v>
      </c>
    </row>
    <row r="878">
      <c r="AD878">
        <f>IF(AND(ISNUMBER(Movimenti!$A860),Movimenti!$L860&lt;&gt;""),Movimenti!$A860,$B$32)</f>
        <v>45596.0</v>
      </c>
      <c r="AE878">
        <f>IF(Movimenti!$L860="",0,N(Movimenti!$L860))</f>
        <v>0</v>
      </c>
    </row>
    <row r="879">
      <c r="AD879">
        <f>IF(AND(ISNUMBER(Movimenti!$A861),Movimenti!$L861&lt;&gt;""),Movimenti!$A861,$B$32)</f>
        <v>45596.0</v>
      </c>
      <c r="AE879">
        <f>IF(Movimenti!$L861="",0,N(Movimenti!$L861))</f>
        <v>0</v>
      </c>
    </row>
    <row r="880">
      <c r="AD880">
        <f>IF(AND(ISNUMBER(Movimenti!$A862),Movimenti!$L862&lt;&gt;""),Movimenti!$A862,$B$32)</f>
        <v>45596.0</v>
      </c>
      <c r="AE880">
        <f>IF(Movimenti!$L862="",0,N(Movimenti!$L862))</f>
        <v>0</v>
      </c>
    </row>
    <row r="881">
      <c r="AD881">
        <f>IF(AND(ISNUMBER(Movimenti!$A863),Movimenti!$L863&lt;&gt;""),Movimenti!$A863,$B$32)</f>
        <v>45596.0</v>
      </c>
      <c r="AE881">
        <f>IF(Movimenti!$L863="",0,N(Movimenti!$L863))</f>
        <v>0</v>
      </c>
    </row>
    <row r="882">
      <c r="AD882">
        <f>IF(AND(ISNUMBER(Movimenti!$A864),Movimenti!$L864&lt;&gt;""),Movimenti!$A864,$B$32)</f>
        <v>45596.0</v>
      </c>
      <c r="AE882">
        <f>IF(Movimenti!$L864="",0,N(Movimenti!$L864))</f>
        <v>0</v>
      </c>
    </row>
    <row r="883">
      <c r="AD883">
        <f>IF(AND(ISNUMBER(Movimenti!$A865),Movimenti!$L865&lt;&gt;""),Movimenti!$A865,$B$32)</f>
        <v>45596.0</v>
      </c>
      <c r="AE883">
        <f>IF(Movimenti!$L865="",0,N(Movimenti!$L865))</f>
        <v>0</v>
      </c>
    </row>
    <row r="884">
      <c r="AD884">
        <f>IF(AND(ISNUMBER(Movimenti!$A866),Movimenti!$L866&lt;&gt;""),Movimenti!$A866,$B$32)</f>
        <v>45596.0</v>
      </c>
      <c r="AE884">
        <f>IF(Movimenti!$L866="",0,N(Movimenti!$L866))</f>
        <v>0</v>
      </c>
    </row>
    <row r="885">
      <c r="AD885">
        <f>IF(AND(ISNUMBER(Movimenti!$A867),Movimenti!$L867&lt;&gt;""),Movimenti!$A867,$B$32)</f>
        <v>45596.0</v>
      </c>
      <c r="AE885">
        <f>IF(Movimenti!$L867="",0,N(Movimenti!$L867))</f>
        <v>0</v>
      </c>
    </row>
    <row r="886">
      <c r="AD886">
        <f>IF(AND(ISNUMBER(Movimenti!$A868),Movimenti!$L868&lt;&gt;""),Movimenti!$A868,$B$32)</f>
        <v>45596.0</v>
      </c>
      <c r="AE886">
        <f>IF(Movimenti!$L868="",0,N(Movimenti!$L868))</f>
        <v>0</v>
      </c>
    </row>
    <row r="887">
      <c r="AD887">
        <f>IF(AND(ISNUMBER(Movimenti!$A869),Movimenti!$L869&lt;&gt;""),Movimenti!$A869,$B$32)</f>
        <v>45596.0</v>
      </c>
      <c r="AE887">
        <f>IF(Movimenti!$L869="",0,N(Movimenti!$L869))</f>
        <v>0</v>
      </c>
    </row>
    <row r="888">
      <c r="AD888">
        <f>IF(AND(ISNUMBER(Movimenti!$A870),Movimenti!$L870&lt;&gt;""),Movimenti!$A870,$B$32)</f>
        <v>45596.0</v>
      </c>
      <c r="AE888">
        <f>IF(Movimenti!$L870="",0,N(Movimenti!$L870))</f>
        <v>0</v>
      </c>
    </row>
    <row r="889">
      <c r="AD889">
        <f>IF(AND(ISNUMBER(Movimenti!$A871),Movimenti!$L871&lt;&gt;""),Movimenti!$A871,$B$32)</f>
        <v>45596.0</v>
      </c>
      <c r="AE889">
        <f>IF(Movimenti!$L871="",0,N(Movimenti!$L871))</f>
        <v>0</v>
      </c>
    </row>
    <row r="890">
      <c r="AD890">
        <f>IF(AND(ISNUMBER(Movimenti!$A872),Movimenti!$L872&lt;&gt;""),Movimenti!$A872,$B$32)</f>
        <v>45596.0</v>
      </c>
      <c r="AE890">
        <f>IF(Movimenti!$L872="",0,N(Movimenti!$L872))</f>
        <v>0</v>
      </c>
    </row>
    <row r="891">
      <c r="AD891">
        <f>IF(AND(ISNUMBER(Movimenti!$A873),Movimenti!$L873&lt;&gt;""),Movimenti!$A873,$B$32)</f>
        <v>45596.0</v>
      </c>
      <c r="AE891">
        <f>IF(Movimenti!$L873="",0,N(Movimenti!$L873))</f>
        <v>0</v>
      </c>
    </row>
    <row r="892">
      <c r="AD892">
        <f>IF(AND(ISNUMBER(Movimenti!$A874),Movimenti!$L874&lt;&gt;""),Movimenti!$A874,$B$32)</f>
        <v>45596.0</v>
      </c>
      <c r="AE892">
        <f>IF(Movimenti!$L874="",0,N(Movimenti!$L874))</f>
        <v>0</v>
      </c>
    </row>
    <row r="893">
      <c r="AD893">
        <f>IF(AND(ISNUMBER(Movimenti!$A875),Movimenti!$L875&lt;&gt;""),Movimenti!$A875,$B$32)</f>
        <v>45596.0</v>
      </c>
      <c r="AE893">
        <f>IF(Movimenti!$L875="",0,N(Movimenti!$L875))</f>
        <v>0</v>
      </c>
    </row>
    <row r="894">
      <c r="AD894">
        <f>IF(AND(ISNUMBER(Movimenti!$A876),Movimenti!$L876&lt;&gt;""),Movimenti!$A876,$B$32)</f>
        <v>45596.0</v>
      </c>
      <c r="AE894">
        <f>IF(Movimenti!$L876="",0,N(Movimenti!$L876))</f>
        <v>0</v>
      </c>
    </row>
    <row r="895">
      <c r="AD895">
        <f>IF(AND(ISNUMBER(Movimenti!$A877),Movimenti!$L877&lt;&gt;""),Movimenti!$A877,$B$32)</f>
        <v>45596.0</v>
      </c>
      <c r="AE895">
        <f>IF(Movimenti!$L877="",0,N(Movimenti!$L877))</f>
        <v>0</v>
      </c>
    </row>
    <row r="896">
      <c r="AD896">
        <f>IF(AND(ISNUMBER(Movimenti!$A878),Movimenti!$L878&lt;&gt;""),Movimenti!$A878,$B$32)</f>
        <v>45596.0</v>
      </c>
      <c r="AE896">
        <f>IF(Movimenti!$L878="",0,N(Movimenti!$L878))</f>
        <v>0</v>
      </c>
    </row>
    <row r="897">
      <c r="AD897">
        <f>IF(AND(ISNUMBER(Movimenti!$A879),Movimenti!$L879&lt;&gt;""),Movimenti!$A879,$B$32)</f>
        <v>45596.0</v>
      </c>
      <c r="AE897">
        <f>IF(Movimenti!$L879="",0,N(Movimenti!$L879))</f>
        <v>0</v>
      </c>
    </row>
    <row r="898">
      <c r="AD898">
        <f>IF(AND(ISNUMBER(Movimenti!$A880),Movimenti!$L880&lt;&gt;""),Movimenti!$A880,$B$32)</f>
        <v>45596.0</v>
      </c>
      <c r="AE898">
        <f>IF(Movimenti!$L880="",0,N(Movimenti!$L880))</f>
        <v>0</v>
      </c>
    </row>
    <row r="899">
      <c r="AD899">
        <f>IF(AND(ISNUMBER(Movimenti!$A881),Movimenti!$L881&lt;&gt;""),Movimenti!$A881,$B$32)</f>
        <v>45596.0</v>
      </c>
      <c r="AE899">
        <f>IF(Movimenti!$L881="",0,N(Movimenti!$L881))</f>
        <v>0</v>
      </c>
    </row>
    <row r="900">
      <c r="AD900">
        <f>IF(AND(ISNUMBER(Movimenti!$A882),Movimenti!$L882&lt;&gt;""),Movimenti!$A882,$B$32)</f>
        <v>45596.0</v>
      </c>
      <c r="AE900">
        <f>IF(Movimenti!$L882="",0,N(Movimenti!$L882))</f>
        <v>0</v>
      </c>
    </row>
    <row r="901">
      <c r="AD901">
        <f>IF(AND(ISNUMBER(Movimenti!$A883),Movimenti!$L883&lt;&gt;""),Movimenti!$A883,$B$32)</f>
        <v>45596.0</v>
      </c>
      <c r="AE901">
        <f>IF(Movimenti!$L883="",0,N(Movimenti!$L883))</f>
        <v>0</v>
      </c>
    </row>
    <row r="902">
      <c r="AD902">
        <f>IF(AND(ISNUMBER(Movimenti!$A884),Movimenti!$L884&lt;&gt;""),Movimenti!$A884,$B$32)</f>
        <v>45596.0</v>
      </c>
      <c r="AE902">
        <f>IF(Movimenti!$L884="",0,N(Movimenti!$L884))</f>
        <v>0</v>
      </c>
    </row>
    <row r="903">
      <c r="AD903">
        <f>IF(AND(ISNUMBER(Movimenti!$A885),Movimenti!$L885&lt;&gt;""),Movimenti!$A885,$B$32)</f>
        <v>45596.0</v>
      </c>
      <c r="AE903">
        <f>IF(Movimenti!$L885="",0,N(Movimenti!$L885))</f>
        <v>0</v>
      </c>
    </row>
    <row r="904">
      <c r="AD904">
        <f>IF(AND(ISNUMBER(Movimenti!$A886),Movimenti!$L886&lt;&gt;""),Movimenti!$A886,$B$32)</f>
        <v>45596.0</v>
      </c>
      <c r="AE904">
        <f>IF(Movimenti!$L886="",0,N(Movimenti!$L886))</f>
        <v>0</v>
      </c>
    </row>
    <row r="905">
      <c r="AD905">
        <f>IF(AND(ISNUMBER(Movimenti!$A887),Movimenti!$L887&lt;&gt;""),Movimenti!$A887,$B$32)</f>
        <v>45596.0</v>
      </c>
      <c r="AE905">
        <f>IF(Movimenti!$L887="",0,N(Movimenti!$L887))</f>
        <v>0</v>
      </c>
    </row>
    <row r="906">
      <c r="AD906">
        <f>IF(AND(ISNUMBER(Movimenti!$A888),Movimenti!$L888&lt;&gt;""),Movimenti!$A888,$B$32)</f>
        <v>45596.0</v>
      </c>
      <c r="AE906">
        <f>IF(Movimenti!$L888="",0,N(Movimenti!$L888))</f>
        <v>0</v>
      </c>
    </row>
    <row r="907">
      <c r="AD907">
        <f>IF(AND(ISNUMBER(Movimenti!$A889),Movimenti!$L889&lt;&gt;""),Movimenti!$A889,$B$32)</f>
        <v>45596.0</v>
      </c>
      <c r="AE907">
        <f>IF(Movimenti!$L889="",0,N(Movimenti!$L889))</f>
        <v>0</v>
      </c>
    </row>
    <row r="908">
      <c r="AD908">
        <f>IF(AND(ISNUMBER(Movimenti!$A890),Movimenti!$L890&lt;&gt;""),Movimenti!$A890,$B$32)</f>
        <v>45596.0</v>
      </c>
      <c r="AE908">
        <f>IF(Movimenti!$L890="",0,N(Movimenti!$L890))</f>
        <v>0</v>
      </c>
    </row>
    <row r="909">
      <c r="AD909">
        <f>IF(AND(ISNUMBER(Movimenti!$A891),Movimenti!$L891&lt;&gt;""),Movimenti!$A891,$B$32)</f>
        <v>45596.0</v>
      </c>
      <c r="AE909">
        <f>IF(Movimenti!$L891="",0,N(Movimenti!$L891))</f>
        <v>0</v>
      </c>
    </row>
    <row r="910">
      <c r="AD910">
        <f>IF(AND(ISNUMBER(Movimenti!$A892),Movimenti!$L892&lt;&gt;""),Movimenti!$A892,$B$32)</f>
        <v>45596.0</v>
      </c>
      <c r="AE910">
        <f>IF(Movimenti!$L892="",0,N(Movimenti!$L892))</f>
        <v>0</v>
      </c>
    </row>
    <row r="911">
      <c r="AD911">
        <f>IF(AND(ISNUMBER(Movimenti!$A893),Movimenti!$L893&lt;&gt;""),Movimenti!$A893,$B$32)</f>
        <v>45596.0</v>
      </c>
      <c r="AE911">
        <f>IF(Movimenti!$L893="",0,N(Movimenti!$L893))</f>
        <v>0</v>
      </c>
    </row>
    <row r="912">
      <c r="AD912">
        <f>IF(AND(ISNUMBER(Movimenti!$A894),Movimenti!$L894&lt;&gt;""),Movimenti!$A894,$B$32)</f>
        <v>45596.0</v>
      </c>
      <c r="AE912">
        <f>IF(Movimenti!$L894="",0,N(Movimenti!$L894))</f>
        <v>0</v>
      </c>
    </row>
    <row r="913">
      <c r="AD913">
        <f>IF(AND(ISNUMBER(Movimenti!$A895),Movimenti!$L895&lt;&gt;""),Movimenti!$A895,$B$32)</f>
        <v>45596.0</v>
      </c>
      <c r="AE913">
        <f>IF(Movimenti!$L895="",0,N(Movimenti!$L895))</f>
        <v>0</v>
      </c>
    </row>
    <row r="914">
      <c r="AD914">
        <f>IF(AND(ISNUMBER(Movimenti!$A896),Movimenti!$L896&lt;&gt;""),Movimenti!$A896,$B$32)</f>
        <v>45596.0</v>
      </c>
      <c r="AE914">
        <f>IF(Movimenti!$L896="",0,N(Movimenti!$L896))</f>
        <v>0</v>
      </c>
    </row>
    <row r="915">
      <c r="AD915">
        <f>IF(AND(ISNUMBER(Movimenti!$A897),Movimenti!$L897&lt;&gt;""),Movimenti!$A897,$B$32)</f>
        <v>45596.0</v>
      </c>
      <c r="AE915">
        <f>IF(Movimenti!$L897="",0,N(Movimenti!$L897))</f>
        <v>0</v>
      </c>
    </row>
    <row r="916">
      <c r="AD916">
        <f>IF(AND(ISNUMBER(Movimenti!$A898),Movimenti!$L898&lt;&gt;""),Movimenti!$A898,$B$32)</f>
        <v>45596.0</v>
      </c>
      <c r="AE916">
        <f>IF(Movimenti!$L898="",0,N(Movimenti!$L898))</f>
        <v>0</v>
      </c>
    </row>
    <row r="917">
      <c r="AD917">
        <f>IF(AND(ISNUMBER(Movimenti!$A899),Movimenti!$L899&lt;&gt;""),Movimenti!$A899,$B$32)</f>
        <v>45596.0</v>
      </c>
      <c r="AE917">
        <f>IF(Movimenti!$L899="",0,N(Movimenti!$L899))</f>
        <v>0</v>
      </c>
    </row>
    <row r="918">
      <c r="AD918">
        <f>IF(AND(ISNUMBER(Movimenti!$A900),Movimenti!$L900&lt;&gt;""),Movimenti!$A900,$B$32)</f>
        <v>45596.0</v>
      </c>
      <c r="AE918">
        <f>IF(Movimenti!$L900="",0,N(Movimenti!$L900))</f>
        <v>0</v>
      </c>
    </row>
    <row r="919">
      <c r="AD919">
        <f>IF(AND(ISNUMBER(Movimenti!$A901),Movimenti!$L901&lt;&gt;""),Movimenti!$A901,$B$32)</f>
        <v>45596.0</v>
      </c>
      <c r="AE919">
        <f>IF(Movimenti!$L901="",0,N(Movimenti!$L901))</f>
        <v>0</v>
      </c>
    </row>
    <row r="920">
      <c r="AD920">
        <f>IF(AND(ISNUMBER(Movimenti!$A902),Movimenti!$L902&lt;&gt;""),Movimenti!$A902,$B$32)</f>
        <v>45596.0</v>
      </c>
      <c r="AE920">
        <f>IF(Movimenti!$L902="",0,N(Movimenti!$L902))</f>
        <v>0</v>
      </c>
    </row>
    <row r="921">
      <c r="AD921">
        <f>IF(AND(ISNUMBER(Movimenti!$A903),Movimenti!$L903&lt;&gt;""),Movimenti!$A903,$B$32)</f>
        <v>45596.0</v>
      </c>
      <c r="AE921">
        <f>IF(Movimenti!$L903="",0,N(Movimenti!$L903))</f>
        <v>0</v>
      </c>
    </row>
    <row r="922">
      <c r="AD922">
        <f>IF(AND(ISNUMBER(Movimenti!$A904),Movimenti!$L904&lt;&gt;""),Movimenti!$A904,$B$32)</f>
        <v>45596.0</v>
      </c>
      <c r="AE922">
        <f>IF(Movimenti!$L904="",0,N(Movimenti!$L904))</f>
        <v>0</v>
      </c>
    </row>
    <row r="923">
      <c r="AD923">
        <f>IF(AND(ISNUMBER(Movimenti!$A905),Movimenti!$L905&lt;&gt;""),Movimenti!$A905,$B$32)</f>
        <v>45596.0</v>
      </c>
      <c r="AE923">
        <f>IF(Movimenti!$L905="",0,N(Movimenti!$L905))</f>
        <v>0</v>
      </c>
    </row>
    <row r="924">
      <c r="AD924">
        <f>IF(AND(ISNUMBER(Movimenti!$A906),Movimenti!$L906&lt;&gt;""),Movimenti!$A906,$B$32)</f>
        <v>45596.0</v>
      </c>
      <c r="AE924">
        <f>IF(Movimenti!$L906="",0,N(Movimenti!$L906))</f>
        <v>0</v>
      </c>
    </row>
    <row r="925">
      <c r="AD925">
        <f>IF(AND(ISNUMBER(Movimenti!$A907),Movimenti!$L907&lt;&gt;""),Movimenti!$A907,$B$32)</f>
        <v>45596.0</v>
      </c>
      <c r="AE925">
        <f>IF(Movimenti!$L907="",0,N(Movimenti!$L907))</f>
        <v>0</v>
      </c>
    </row>
    <row r="926">
      <c r="AD926">
        <f>IF(AND(ISNUMBER(Movimenti!$A908),Movimenti!$L908&lt;&gt;""),Movimenti!$A908,$B$32)</f>
        <v>45596.0</v>
      </c>
      <c r="AE926">
        <f>IF(Movimenti!$L908="",0,N(Movimenti!$L908))</f>
        <v>0</v>
      </c>
    </row>
    <row r="927">
      <c r="AD927">
        <f>IF(AND(ISNUMBER(Movimenti!$A909),Movimenti!$L909&lt;&gt;""),Movimenti!$A909,$B$32)</f>
        <v>45596.0</v>
      </c>
      <c r="AE927">
        <f>IF(Movimenti!$L909="",0,N(Movimenti!$L909))</f>
        <v>0</v>
      </c>
    </row>
    <row r="928">
      <c r="AD928">
        <f>IF(AND(ISNUMBER(Movimenti!$A910),Movimenti!$L910&lt;&gt;""),Movimenti!$A910,$B$32)</f>
        <v>45596.0</v>
      </c>
      <c r="AE928">
        <f>IF(Movimenti!$L910="",0,N(Movimenti!$L910))</f>
        <v>0</v>
      </c>
    </row>
    <row r="929">
      <c r="AD929">
        <f>IF(AND(ISNUMBER(Movimenti!$A911),Movimenti!$L911&lt;&gt;""),Movimenti!$A911,$B$32)</f>
        <v>45596.0</v>
      </c>
      <c r="AE929">
        <f>IF(Movimenti!$L911="",0,N(Movimenti!$L911))</f>
        <v>0</v>
      </c>
    </row>
    <row r="930">
      <c r="AD930">
        <f>IF(AND(ISNUMBER(Movimenti!$A912),Movimenti!$L912&lt;&gt;""),Movimenti!$A912,$B$32)</f>
        <v>45596.0</v>
      </c>
      <c r="AE930">
        <f>IF(Movimenti!$L912="",0,N(Movimenti!$L912))</f>
        <v>0</v>
      </c>
    </row>
    <row r="931">
      <c r="AD931">
        <f>IF(AND(ISNUMBER(Movimenti!$A913),Movimenti!$L913&lt;&gt;""),Movimenti!$A913,$B$32)</f>
        <v>45596.0</v>
      </c>
      <c r="AE931">
        <f>IF(Movimenti!$L913="",0,N(Movimenti!$L913))</f>
        <v>0</v>
      </c>
    </row>
    <row r="932">
      <c r="AD932">
        <f>IF(AND(ISNUMBER(Movimenti!$A914),Movimenti!$L914&lt;&gt;""),Movimenti!$A914,$B$32)</f>
        <v>45596.0</v>
      </c>
      <c r="AE932">
        <f>IF(Movimenti!$L914="",0,N(Movimenti!$L914))</f>
        <v>0</v>
      </c>
    </row>
    <row r="933">
      <c r="AD933">
        <f>IF(AND(ISNUMBER(Movimenti!$A915),Movimenti!$L915&lt;&gt;""),Movimenti!$A915,$B$32)</f>
        <v>45596.0</v>
      </c>
      <c r="AE933">
        <f>IF(Movimenti!$L915="",0,N(Movimenti!$L915))</f>
        <v>0</v>
      </c>
    </row>
    <row r="934">
      <c r="AD934">
        <f>IF(AND(ISNUMBER(Movimenti!$A916),Movimenti!$L916&lt;&gt;""),Movimenti!$A916,$B$32)</f>
        <v>45596.0</v>
      </c>
      <c r="AE934">
        <f>IF(Movimenti!$L916="",0,N(Movimenti!$L916))</f>
        <v>0</v>
      </c>
    </row>
    <row r="935">
      <c r="AD935">
        <f>IF(AND(ISNUMBER(Movimenti!$A917),Movimenti!$L917&lt;&gt;""),Movimenti!$A917,$B$32)</f>
        <v>45596.0</v>
      </c>
      <c r="AE935">
        <f>IF(Movimenti!$L917="",0,N(Movimenti!$L917))</f>
        <v>0</v>
      </c>
    </row>
    <row r="936">
      <c r="AD936">
        <f>IF(AND(ISNUMBER(Movimenti!$A918),Movimenti!$L918&lt;&gt;""),Movimenti!$A918,$B$32)</f>
        <v>45596.0</v>
      </c>
      <c r="AE936">
        <f>IF(Movimenti!$L918="",0,N(Movimenti!$L918))</f>
        <v>0</v>
      </c>
    </row>
    <row r="937">
      <c r="AD937">
        <f>IF(AND(ISNUMBER(Movimenti!$A919),Movimenti!$L919&lt;&gt;""),Movimenti!$A919,$B$32)</f>
        <v>45596.0</v>
      </c>
      <c r="AE937">
        <f>IF(Movimenti!$L919="",0,N(Movimenti!$L919))</f>
        <v>0</v>
      </c>
    </row>
    <row r="938">
      <c r="AD938">
        <f>IF(AND(ISNUMBER(Movimenti!$A920),Movimenti!$L920&lt;&gt;""),Movimenti!$A920,$B$32)</f>
        <v>45596.0</v>
      </c>
      <c r="AE938">
        <f>IF(Movimenti!$L920="",0,N(Movimenti!$L920))</f>
        <v>0</v>
      </c>
    </row>
    <row r="939">
      <c r="AD939">
        <f>IF(AND(ISNUMBER(Movimenti!$A921),Movimenti!$L921&lt;&gt;""),Movimenti!$A921,$B$32)</f>
        <v>45596.0</v>
      </c>
      <c r="AE939">
        <f>IF(Movimenti!$L921="",0,N(Movimenti!$L921))</f>
        <v>0</v>
      </c>
    </row>
    <row r="940">
      <c r="AD940">
        <f>IF(AND(ISNUMBER(Movimenti!$A922),Movimenti!$L922&lt;&gt;""),Movimenti!$A922,$B$32)</f>
        <v>45596.0</v>
      </c>
      <c r="AE940">
        <f>IF(Movimenti!$L922="",0,N(Movimenti!$L922))</f>
        <v>0</v>
      </c>
    </row>
    <row r="941">
      <c r="AD941">
        <f>IF(AND(ISNUMBER(Movimenti!$A923),Movimenti!$L923&lt;&gt;""),Movimenti!$A923,$B$32)</f>
        <v>45596.0</v>
      </c>
      <c r="AE941">
        <f>IF(Movimenti!$L923="",0,N(Movimenti!$L923))</f>
        <v>0</v>
      </c>
    </row>
    <row r="942">
      <c r="AD942">
        <f>IF(AND(ISNUMBER(Movimenti!$A924),Movimenti!$L924&lt;&gt;""),Movimenti!$A924,$B$32)</f>
        <v>45596.0</v>
      </c>
      <c r="AE942">
        <f>IF(Movimenti!$L924="",0,N(Movimenti!$L924))</f>
        <v>0</v>
      </c>
    </row>
    <row r="943">
      <c r="AD943">
        <f>IF(AND(ISNUMBER(Movimenti!$A925),Movimenti!$L925&lt;&gt;""),Movimenti!$A925,$B$32)</f>
        <v>45596.0</v>
      </c>
      <c r="AE943">
        <f>IF(Movimenti!$L925="",0,N(Movimenti!$L925))</f>
        <v>0</v>
      </c>
    </row>
    <row r="944">
      <c r="AD944">
        <f>IF(AND(ISNUMBER(Movimenti!$A926),Movimenti!$L926&lt;&gt;""),Movimenti!$A926,$B$32)</f>
        <v>45596.0</v>
      </c>
      <c r="AE944">
        <f>IF(Movimenti!$L926="",0,N(Movimenti!$L926))</f>
        <v>0</v>
      </c>
    </row>
    <row r="945">
      <c r="AD945">
        <f>IF(AND(ISNUMBER(Movimenti!$A927),Movimenti!$L927&lt;&gt;""),Movimenti!$A927,$B$32)</f>
        <v>45596.0</v>
      </c>
      <c r="AE945">
        <f>IF(Movimenti!$L927="",0,N(Movimenti!$L927))</f>
        <v>0</v>
      </c>
    </row>
    <row r="946">
      <c r="AD946">
        <f>IF(AND(ISNUMBER(Movimenti!$A928),Movimenti!$L928&lt;&gt;""),Movimenti!$A928,$B$32)</f>
        <v>45596.0</v>
      </c>
      <c r="AE946">
        <f>IF(Movimenti!$L928="",0,N(Movimenti!$L928))</f>
        <v>0</v>
      </c>
    </row>
    <row r="947">
      <c r="AD947">
        <f>IF(AND(ISNUMBER(Movimenti!$A929),Movimenti!$L929&lt;&gt;""),Movimenti!$A929,$B$32)</f>
        <v>45596.0</v>
      </c>
      <c r="AE947">
        <f>IF(Movimenti!$L929="",0,N(Movimenti!$L929))</f>
        <v>0</v>
      </c>
    </row>
    <row r="948">
      <c r="AD948">
        <f>IF(AND(ISNUMBER(Movimenti!$A930),Movimenti!$L930&lt;&gt;""),Movimenti!$A930,$B$32)</f>
        <v>45596.0</v>
      </c>
      <c r="AE948">
        <f>IF(Movimenti!$L930="",0,N(Movimenti!$L930))</f>
        <v>0</v>
      </c>
    </row>
    <row r="949">
      <c r="AD949">
        <f>IF(AND(ISNUMBER(Movimenti!$A931),Movimenti!$L931&lt;&gt;""),Movimenti!$A931,$B$32)</f>
        <v>45596.0</v>
      </c>
      <c r="AE949">
        <f>IF(Movimenti!$L931="",0,N(Movimenti!$L931))</f>
        <v>0</v>
      </c>
    </row>
    <row r="950">
      <c r="AD950">
        <f>IF(AND(ISNUMBER(Movimenti!$A932),Movimenti!$L932&lt;&gt;""),Movimenti!$A932,$B$32)</f>
        <v>45596.0</v>
      </c>
      <c r="AE950">
        <f>IF(Movimenti!$L932="",0,N(Movimenti!$L932))</f>
        <v>0</v>
      </c>
    </row>
    <row r="951">
      <c r="AD951">
        <f>IF(AND(ISNUMBER(Movimenti!$A933),Movimenti!$L933&lt;&gt;""),Movimenti!$A933,$B$32)</f>
        <v>45596.0</v>
      </c>
      <c r="AE951">
        <f>IF(Movimenti!$L933="",0,N(Movimenti!$L933))</f>
        <v>0</v>
      </c>
    </row>
    <row r="952">
      <c r="AD952">
        <f>IF(AND(ISNUMBER(Movimenti!$A934),Movimenti!$L934&lt;&gt;""),Movimenti!$A934,$B$32)</f>
        <v>45596.0</v>
      </c>
      <c r="AE952">
        <f>IF(Movimenti!$L934="",0,N(Movimenti!$L934))</f>
        <v>0</v>
      </c>
    </row>
    <row r="953">
      <c r="AD953">
        <f>IF(AND(ISNUMBER(Movimenti!$A935),Movimenti!$L935&lt;&gt;""),Movimenti!$A935,$B$32)</f>
        <v>45596.0</v>
      </c>
      <c r="AE953">
        <f>IF(Movimenti!$L935="",0,N(Movimenti!$L935))</f>
        <v>0</v>
      </c>
    </row>
    <row r="954">
      <c r="AD954">
        <f>IF(AND(ISNUMBER(Movimenti!$A936),Movimenti!$L936&lt;&gt;""),Movimenti!$A936,$B$32)</f>
        <v>45596.0</v>
      </c>
      <c r="AE954">
        <f>IF(Movimenti!$L936="",0,N(Movimenti!$L936))</f>
        <v>0</v>
      </c>
    </row>
    <row r="955">
      <c r="AD955">
        <f>IF(AND(ISNUMBER(Movimenti!$A937),Movimenti!$L937&lt;&gt;""),Movimenti!$A937,$B$32)</f>
        <v>45596.0</v>
      </c>
      <c r="AE955">
        <f>IF(Movimenti!$L937="",0,N(Movimenti!$L937))</f>
        <v>0</v>
      </c>
    </row>
    <row r="956">
      <c r="AD956">
        <f>IF(AND(ISNUMBER(Movimenti!$A938),Movimenti!$L938&lt;&gt;""),Movimenti!$A938,$B$32)</f>
        <v>45596.0</v>
      </c>
      <c r="AE956">
        <f>IF(Movimenti!$L938="",0,N(Movimenti!$L938))</f>
        <v>0</v>
      </c>
    </row>
    <row r="957">
      <c r="AD957">
        <f>IF(AND(ISNUMBER(Movimenti!$A939),Movimenti!$L939&lt;&gt;""),Movimenti!$A939,$B$32)</f>
        <v>45596.0</v>
      </c>
      <c r="AE957">
        <f>IF(Movimenti!$L939="",0,N(Movimenti!$L939))</f>
        <v>0</v>
      </c>
    </row>
    <row r="958">
      <c r="AD958">
        <f>IF(AND(ISNUMBER(Movimenti!$A940),Movimenti!$L940&lt;&gt;""),Movimenti!$A940,$B$32)</f>
        <v>45596.0</v>
      </c>
      <c r="AE958">
        <f>IF(Movimenti!$L940="",0,N(Movimenti!$L940))</f>
        <v>0</v>
      </c>
    </row>
    <row r="959">
      <c r="AD959">
        <f>IF(AND(ISNUMBER(Movimenti!$A941),Movimenti!$L941&lt;&gt;""),Movimenti!$A941,$B$32)</f>
        <v>45596.0</v>
      </c>
      <c r="AE959">
        <f>IF(Movimenti!$L941="",0,N(Movimenti!$L941))</f>
        <v>0</v>
      </c>
    </row>
    <row r="960">
      <c r="AD960">
        <f>IF(AND(ISNUMBER(Movimenti!$A942),Movimenti!$L942&lt;&gt;""),Movimenti!$A942,$B$32)</f>
        <v>45596.0</v>
      </c>
      <c r="AE960">
        <f>IF(Movimenti!$L942="",0,N(Movimenti!$L942))</f>
        <v>0</v>
      </c>
    </row>
    <row r="961">
      <c r="AD961">
        <f>IF(AND(ISNUMBER(Movimenti!$A943),Movimenti!$L943&lt;&gt;""),Movimenti!$A943,$B$32)</f>
        <v>45596.0</v>
      </c>
      <c r="AE961">
        <f>IF(Movimenti!$L943="",0,N(Movimenti!$L943))</f>
        <v>0</v>
      </c>
    </row>
    <row r="962">
      <c r="AD962">
        <f>IF(AND(ISNUMBER(Movimenti!$A944),Movimenti!$L944&lt;&gt;""),Movimenti!$A944,$B$32)</f>
        <v>45596.0</v>
      </c>
      <c r="AE962">
        <f>IF(Movimenti!$L944="",0,N(Movimenti!$L944))</f>
        <v>0</v>
      </c>
    </row>
    <row r="963">
      <c r="AD963">
        <f>IF(AND(ISNUMBER(Movimenti!$A945),Movimenti!$L945&lt;&gt;""),Movimenti!$A945,$B$32)</f>
        <v>45596.0</v>
      </c>
      <c r="AE963">
        <f>IF(Movimenti!$L945="",0,N(Movimenti!$L945))</f>
        <v>0</v>
      </c>
    </row>
    <row r="964">
      <c r="AD964">
        <f>IF(AND(ISNUMBER(Movimenti!$A946),Movimenti!$L946&lt;&gt;""),Movimenti!$A946,$B$32)</f>
        <v>45596.0</v>
      </c>
      <c r="AE964">
        <f>IF(Movimenti!$L946="",0,N(Movimenti!$L946))</f>
        <v>0</v>
      </c>
    </row>
    <row r="965">
      <c r="AD965">
        <f>IF(AND(ISNUMBER(Movimenti!$A947),Movimenti!$L947&lt;&gt;""),Movimenti!$A947,$B$32)</f>
        <v>45596.0</v>
      </c>
      <c r="AE965">
        <f>IF(Movimenti!$L947="",0,N(Movimenti!$L947))</f>
        <v>0</v>
      </c>
    </row>
    <row r="966">
      <c r="AD966">
        <f>IF(AND(ISNUMBER(Movimenti!$A948),Movimenti!$L948&lt;&gt;""),Movimenti!$A948,$B$32)</f>
        <v>45596.0</v>
      </c>
      <c r="AE966">
        <f>IF(Movimenti!$L948="",0,N(Movimenti!$L948))</f>
        <v>0</v>
      </c>
    </row>
    <row r="967">
      <c r="AD967">
        <f>IF(AND(ISNUMBER(Movimenti!$A949),Movimenti!$L949&lt;&gt;""),Movimenti!$A949,$B$32)</f>
        <v>45596.0</v>
      </c>
      <c r="AE967">
        <f>IF(Movimenti!$L949="",0,N(Movimenti!$L949))</f>
        <v>0</v>
      </c>
    </row>
    <row r="968">
      <c r="AD968">
        <f>IF(AND(ISNUMBER(Movimenti!$A950),Movimenti!$L950&lt;&gt;""),Movimenti!$A950,$B$32)</f>
        <v>45596.0</v>
      </c>
      <c r="AE968">
        <f>IF(Movimenti!$L950="",0,N(Movimenti!$L950))</f>
        <v>0</v>
      </c>
    </row>
    <row r="969">
      <c r="AD969">
        <f>IF(AND(ISNUMBER(Movimenti!$A951),Movimenti!$L951&lt;&gt;""),Movimenti!$A951,$B$32)</f>
        <v>45596.0</v>
      </c>
      <c r="AE969">
        <f>IF(Movimenti!$L951="",0,N(Movimenti!$L951))</f>
        <v>0</v>
      </c>
    </row>
    <row r="970">
      <c r="AD970">
        <f>IF(AND(ISNUMBER(Movimenti!$A952),Movimenti!$L952&lt;&gt;""),Movimenti!$A952,$B$32)</f>
        <v>45596.0</v>
      </c>
      <c r="AE970">
        <f>IF(Movimenti!$L952="",0,N(Movimenti!$L952))</f>
        <v>0</v>
      </c>
    </row>
    <row r="971">
      <c r="AD971">
        <f>IF(AND(ISNUMBER(Movimenti!$A953),Movimenti!$L953&lt;&gt;""),Movimenti!$A953,$B$32)</f>
        <v>45596.0</v>
      </c>
      <c r="AE971">
        <f>IF(Movimenti!$L953="",0,N(Movimenti!$L953))</f>
        <v>0</v>
      </c>
    </row>
    <row r="972">
      <c r="AD972">
        <f>IF(AND(ISNUMBER(Movimenti!$A954),Movimenti!$L954&lt;&gt;""),Movimenti!$A954,$B$32)</f>
        <v>45596.0</v>
      </c>
      <c r="AE972">
        <f>IF(Movimenti!$L954="",0,N(Movimenti!$L954))</f>
        <v>0</v>
      </c>
    </row>
    <row r="973">
      <c r="AD973">
        <f>IF(AND(ISNUMBER(Movimenti!$A955),Movimenti!$L955&lt;&gt;""),Movimenti!$A955,$B$32)</f>
        <v>45596.0</v>
      </c>
      <c r="AE973">
        <f>IF(Movimenti!$L955="",0,N(Movimenti!$L955))</f>
        <v>0</v>
      </c>
    </row>
    <row r="974">
      <c r="AD974">
        <f>IF(AND(ISNUMBER(Movimenti!$A956),Movimenti!$L956&lt;&gt;""),Movimenti!$A956,$B$32)</f>
        <v>45596.0</v>
      </c>
      <c r="AE974">
        <f>IF(Movimenti!$L956="",0,N(Movimenti!$L956))</f>
        <v>0</v>
      </c>
    </row>
    <row r="975">
      <c r="AD975">
        <f>IF(AND(ISNUMBER(Movimenti!$A957),Movimenti!$L957&lt;&gt;""),Movimenti!$A957,$B$32)</f>
        <v>45596.0</v>
      </c>
      <c r="AE975">
        <f>IF(Movimenti!$L957="",0,N(Movimenti!$L957))</f>
        <v>0</v>
      </c>
    </row>
    <row r="976">
      <c r="AD976">
        <f>IF(AND(ISNUMBER(Movimenti!$A958),Movimenti!$L958&lt;&gt;""),Movimenti!$A958,$B$32)</f>
        <v>45596.0</v>
      </c>
      <c r="AE976">
        <f>IF(Movimenti!$L958="",0,N(Movimenti!$L958))</f>
        <v>0</v>
      </c>
    </row>
    <row r="977">
      <c r="AD977">
        <f>IF(AND(ISNUMBER(Movimenti!$A959),Movimenti!$L959&lt;&gt;""),Movimenti!$A959,$B$32)</f>
        <v>45596.0</v>
      </c>
      <c r="AE977">
        <f>IF(Movimenti!$L959="",0,N(Movimenti!$L959))</f>
        <v>0</v>
      </c>
    </row>
    <row r="978">
      <c r="AD978">
        <f>IF(AND(ISNUMBER(Movimenti!$A960),Movimenti!$L960&lt;&gt;""),Movimenti!$A960,$B$32)</f>
        <v>45596.0</v>
      </c>
      <c r="AE978">
        <f>IF(Movimenti!$L960="",0,N(Movimenti!$L960))</f>
        <v>0</v>
      </c>
    </row>
    <row r="979">
      <c r="AD979">
        <f>IF(AND(ISNUMBER(Movimenti!$A961),Movimenti!$L961&lt;&gt;""),Movimenti!$A961,$B$32)</f>
        <v>45596.0</v>
      </c>
      <c r="AE979">
        <f>IF(Movimenti!$L961="",0,N(Movimenti!$L961))</f>
        <v>0</v>
      </c>
    </row>
    <row r="980">
      <c r="AD980">
        <f>IF(AND(ISNUMBER(Movimenti!$A962),Movimenti!$L962&lt;&gt;""),Movimenti!$A962,$B$32)</f>
        <v>45596.0</v>
      </c>
      <c r="AE980">
        <f>IF(Movimenti!$L962="",0,N(Movimenti!$L962))</f>
        <v>0</v>
      </c>
    </row>
    <row r="981">
      <c r="AD981">
        <f>IF(AND(ISNUMBER(Movimenti!$A963),Movimenti!$L963&lt;&gt;""),Movimenti!$A963,$B$32)</f>
        <v>45596.0</v>
      </c>
      <c r="AE981">
        <f>IF(Movimenti!$L963="",0,N(Movimenti!$L963))</f>
        <v>0</v>
      </c>
    </row>
    <row r="982">
      <c r="AD982">
        <f>IF(AND(ISNUMBER(Movimenti!$A964),Movimenti!$L964&lt;&gt;""),Movimenti!$A964,$B$32)</f>
        <v>45596.0</v>
      </c>
      <c r="AE982">
        <f>IF(Movimenti!$L964="",0,N(Movimenti!$L964))</f>
        <v>0</v>
      </c>
    </row>
    <row r="983">
      <c r="AD983">
        <f>IF(AND(ISNUMBER(Movimenti!$A965),Movimenti!$L965&lt;&gt;""),Movimenti!$A965,$B$32)</f>
        <v>45596.0</v>
      </c>
      <c r="AE983">
        <f>IF(Movimenti!$L965="",0,N(Movimenti!$L965))</f>
        <v>0</v>
      </c>
    </row>
    <row r="984">
      <c r="AD984">
        <f>IF(AND(ISNUMBER(Movimenti!$A966),Movimenti!$L966&lt;&gt;""),Movimenti!$A966,$B$32)</f>
        <v>45596.0</v>
      </c>
      <c r="AE984">
        <f>IF(Movimenti!$L966="",0,N(Movimenti!$L966))</f>
        <v>0</v>
      </c>
    </row>
    <row r="985">
      <c r="AD985">
        <f>IF(AND(ISNUMBER(Movimenti!$A967),Movimenti!$L967&lt;&gt;""),Movimenti!$A967,$B$32)</f>
        <v>45596.0</v>
      </c>
      <c r="AE985">
        <f>IF(Movimenti!$L967="",0,N(Movimenti!$L967))</f>
        <v>0</v>
      </c>
    </row>
    <row r="986">
      <c r="AD986">
        <f>IF(AND(ISNUMBER(Movimenti!$A968),Movimenti!$L968&lt;&gt;""),Movimenti!$A968,$B$32)</f>
        <v>45596.0</v>
      </c>
      <c r="AE986">
        <f>IF(Movimenti!$L968="",0,N(Movimenti!$L968))</f>
        <v>0</v>
      </c>
    </row>
    <row r="987">
      <c r="AD987">
        <f>IF(AND(ISNUMBER(Movimenti!$A969),Movimenti!$L969&lt;&gt;""),Movimenti!$A969,$B$32)</f>
        <v>45596.0</v>
      </c>
      <c r="AE987">
        <f>IF(Movimenti!$L969="",0,N(Movimenti!$L969))</f>
        <v>0</v>
      </c>
    </row>
    <row r="988">
      <c r="AD988">
        <f>IF(AND(ISNUMBER(Movimenti!$A970),Movimenti!$L970&lt;&gt;""),Movimenti!$A970,$B$32)</f>
        <v>45596.0</v>
      </c>
      <c r="AE988">
        <f>IF(Movimenti!$L970="",0,N(Movimenti!$L970))</f>
        <v>0</v>
      </c>
    </row>
    <row r="989">
      <c r="AD989">
        <f>IF(AND(ISNUMBER(Movimenti!$A971),Movimenti!$L971&lt;&gt;""),Movimenti!$A971,$B$32)</f>
        <v>45596.0</v>
      </c>
      <c r="AE989">
        <f>IF(Movimenti!$L971="",0,N(Movimenti!$L971))</f>
        <v>0</v>
      </c>
    </row>
    <row r="990">
      <c r="AD990">
        <f>IF(AND(ISNUMBER(Movimenti!$A972),Movimenti!$L972&lt;&gt;""),Movimenti!$A972,$B$32)</f>
        <v>45596.0</v>
      </c>
      <c r="AE990">
        <f>IF(Movimenti!$L972="",0,N(Movimenti!$L972))</f>
        <v>0</v>
      </c>
    </row>
    <row r="991">
      <c r="AD991">
        <f>IF(AND(ISNUMBER(Movimenti!$A973),Movimenti!$L973&lt;&gt;""),Movimenti!$A973,$B$32)</f>
        <v>45596.0</v>
      </c>
      <c r="AE991">
        <f>IF(Movimenti!$L973="",0,N(Movimenti!$L973))</f>
        <v>0</v>
      </c>
    </row>
    <row r="992">
      <c r="AD992">
        <f>IF(AND(ISNUMBER(Movimenti!$A974),Movimenti!$L974&lt;&gt;""),Movimenti!$A974,$B$32)</f>
        <v>45596.0</v>
      </c>
      <c r="AE992">
        <f>IF(Movimenti!$L974="",0,N(Movimenti!$L974))</f>
        <v>0</v>
      </c>
    </row>
    <row r="993">
      <c r="AD993">
        <f>IF(AND(ISNUMBER(Movimenti!$A975),Movimenti!$L975&lt;&gt;""),Movimenti!$A975,$B$32)</f>
        <v>45596.0</v>
      </c>
      <c r="AE993">
        <f>IF(Movimenti!$L975="",0,N(Movimenti!$L975))</f>
        <v>0</v>
      </c>
    </row>
    <row r="994">
      <c r="AD994">
        <f>IF(AND(ISNUMBER(Movimenti!$A976),Movimenti!$L976&lt;&gt;""),Movimenti!$A976,$B$32)</f>
        <v>45596.0</v>
      </c>
      <c r="AE994">
        <f>IF(Movimenti!$L976="",0,N(Movimenti!$L976))</f>
        <v>0</v>
      </c>
    </row>
    <row r="995">
      <c r="AD995">
        <f>IF(AND(ISNUMBER(Movimenti!$A977),Movimenti!$L977&lt;&gt;""),Movimenti!$A977,$B$32)</f>
        <v>45596.0</v>
      </c>
      <c r="AE995">
        <f>IF(Movimenti!$L977="",0,N(Movimenti!$L977))</f>
        <v>0</v>
      </c>
    </row>
    <row r="996">
      <c r="AD996">
        <f>IF(AND(ISNUMBER(Movimenti!$A978),Movimenti!$L978&lt;&gt;""),Movimenti!$A978,$B$32)</f>
        <v>45596.0</v>
      </c>
      <c r="AE996">
        <f>IF(Movimenti!$L978="",0,N(Movimenti!$L978))</f>
        <v>0</v>
      </c>
    </row>
    <row r="997">
      <c r="AD997">
        <f>IF(AND(ISNUMBER(Movimenti!$A979),Movimenti!$L979&lt;&gt;""),Movimenti!$A979,$B$32)</f>
        <v>45596.0</v>
      </c>
      <c r="AE997">
        <f>IF(Movimenti!$L979="",0,N(Movimenti!$L979))</f>
        <v>0</v>
      </c>
    </row>
    <row r="998">
      <c r="AD998">
        <f>IF(AND(ISNUMBER(Movimenti!$A980),Movimenti!$L980&lt;&gt;""),Movimenti!$A980,$B$32)</f>
        <v>45596.0</v>
      </c>
      <c r="AE998">
        <f>IF(Movimenti!$L980="",0,N(Movimenti!$L980))</f>
        <v>0</v>
      </c>
    </row>
    <row r="999">
      <c r="AD999">
        <f>IF(AND(ISNUMBER(Movimenti!$A981),Movimenti!$L981&lt;&gt;""),Movimenti!$A981,$B$32)</f>
        <v>45596.0</v>
      </c>
      <c r="AE999">
        <f>IF(Movimenti!$L981="",0,N(Movimenti!$L981))</f>
        <v>0</v>
      </c>
    </row>
    <row r="1000">
      <c r="AD1000">
        <f>IF(AND(ISNUMBER(Movimenti!$A982),Movimenti!$L982&lt;&gt;""),Movimenti!$A982,$B$32)</f>
        <v>45596.0</v>
      </c>
      <c r="AE1000">
        <f>IF(Movimenti!$L982="",0,N(Movimenti!$L982))</f>
        <v>0</v>
      </c>
    </row>
    <row r="1001">
      <c r="AD1001">
        <f>IF(AND(ISNUMBER(Movimenti!$A983),Movimenti!$L983&lt;&gt;""),Movimenti!$A983,$B$32)</f>
        <v>45596.0</v>
      </c>
      <c r="AE1001">
        <f>IF(Movimenti!$L983="",0,N(Movimenti!$L983))</f>
        <v>0</v>
      </c>
    </row>
    <row r="1002">
      <c r="AD1002">
        <f>IF(AND(ISNUMBER(Movimenti!$A984),Movimenti!$L984&lt;&gt;""),Movimenti!$A984,$B$32)</f>
        <v>45596.0</v>
      </c>
      <c r="AE1002">
        <f>IF(Movimenti!$L984="",0,N(Movimenti!$L984))</f>
        <v>0</v>
      </c>
    </row>
    <row r="1003">
      <c r="AD1003">
        <f>IF(AND(ISNUMBER(Movimenti!$A985),Movimenti!$L985&lt;&gt;""),Movimenti!$A985,$B$32)</f>
        <v>45596.0</v>
      </c>
      <c r="AE1003">
        <f>IF(Movimenti!$L985="",0,N(Movimenti!$L985))</f>
        <v>0</v>
      </c>
    </row>
    <row r="1004">
      <c r="AD1004">
        <f>IF(AND(ISNUMBER(Movimenti!$A986),Movimenti!$L986&lt;&gt;""),Movimenti!$A986,$B$32)</f>
        <v>45596.0</v>
      </c>
      <c r="AE1004">
        <f>IF(Movimenti!$L986="",0,N(Movimenti!$L986))</f>
        <v>0</v>
      </c>
    </row>
    <row r="1005">
      <c r="AD1005">
        <f>IF(AND(ISNUMBER(Movimenti!$A987),Movimenti!$L987&lt;&gt;""),Movimenti!$A987,$B$32)</f>
        <v>45596.0</v>
      </c>
      <c r="AE1005">
        <f>IF(Movimenti!$L987="",0,N(Movimenti!$L987))</f>
        <v>0</v>
      </c>
    </row>
    <row r="1006">
      <c r="AD1006">
        <f>IF(AND(ISNUMBER(Movimenti!$A988),Movimenti!$L988&lt;&gt;""),Movimenti!$A988,$B$32)</f>
        <v>45596.0</v>
      </c>
      <c r="AE1006">
        <f>IF(Movimenti!$L988="",0,N(Movimenti!$L988))</f>
        <v>0</v>
      </c>
    </row>
    <row r="1007">
      <c r="AD1007">
        <f>IF(AND(ISNUMBER(Movimenti!$A989),Movimenti!$L989&lt;&gt;""),Movimenti!$A989,$B$32)</f>
        <v>45596.0</v>
      </c>
      <c r="AE1007">
        <f>IF(Movimenti!$L989="",0,N(Movimenti!$L989))</f>
        <v>0</v>
      </c>
    </row>
    <row r="1008">
      <c r="AD1008">
        <f>IF(AND(ISNUMBER(Movimenti!$A990),Movimenti!$L990&lt;&gt;""),Movimenti!$A990,$B$32)</f>
        <v>45596.0</v>
      </c>
      <c r="AE1008">
        <f>IF(Movimenti!$L990="",0,N(Movimenti!$L990))</f>
        <v>0</v>
      </c>
    </row>
    <row r="1009">
      <c r="AD1009">
        <f>IF(AND(ISNUMBER(Movimenti!$A991),Movimenti!$L991&lt;&gt;""),Movimenti!$A991,$B$32)</f>
        <v>45596.0</v>
      </c>
      <c r="AE1009">
        <f>IF(Movimenti!$L991="",0,N(Movimenti!$L991))</f>
        <v>0</v>
      </c>
    </row>
    <row r="1010">
      <c r="AD1010">
        <f>IF(AND(ISNUMBER(Movimenti!$A992),Movimenti!$L992&lt;&gt;""),Movimenti!$A992,$B$32)</f>
        <v>45596.0</v>
      </c>
      <c r="AE1010">
        <f>IF(Movimenti!$L992="",0,N(Movimenti!$L992))</f>
        <v>0</v>
      </c>
    </row>
    <row r="1011">
      <c r="AD1011">
        <f>IF(AND(ISNUMBER(Movimenti!$A993),Movimenti!$L993&lt;&gt;""),Movimenti!$A993,$B$32)</f>
        <v>45596.0</v>
      </c>
      <c r="AE1011">
        <f>IF(Movimenti!$L993="",0,N(Movimenti!$L993))</f>
        <v>0</v>
      </c>
    </row>
    <row r="1012">
      <c r="AD1012">
        <f>IF(AND(ISNUMBER(Movimenti!$A994),Movimenti!$L994&lt;&gt;""),Movimenti!$A994,$B$32)</f>
        <v>45596.0</v>
      </c>
      <c r="AE1012">
        <f>IF(Movimenti!$L994="",0,N(Movimenti!$L994))</f>
        <v>0</v>
      </c>
    </row>
    <row r="1013">
      <c r="AD1013">
        <f>IF(AND(ISNUMBER(Movimenti!$A995),Movimenti!$L995&lt;&gt;""),Movimenti!$A995,$B$32)</f>
        <v>45596.0</v>
      </c>
      <c r="AE1013">
        <f>IF(Movimenti!$L995="",0,N(Movimenti!$L995))</f>
        <v>0</v>
      </c>
    </row>
    <row r="1014">
      <c r="AD1014">
        <f>IF(AND(ISNUMBER(Movimenti!$A996),Movimenti!$L996&lt;&gt;""),Movimenti!$A996,$B$32)</f>
        <v>45596.0</v>
      </c>
      <c r="AE1014">
        <f>IF(Movimenti!$L996="",0,N(Movimenti!$L996))</f>
        <v>0</v>
      </c>
    </row>
    <row r="1015">
      <c r="AD1015">
        <f>IF(AND(ISNUMBER(Movimenti!$A997),Movimenti!$L997&lt;&gt;""),Movimenti!$A997,$B$32)</f>
        <v>45596.0</v>
      </c>
      <c r="AE1015">
        <f>IF(Movimenti!$L997="",0,N(Movimenti!$L997))</f>
        <v>0</v>
      </c>
    </row>
    <row r="1016">
      <c r="AD1016">
        <f>IF(AND(ISNUMBER(Movimenti!$A998),Movimenti!$L998&lt;&gt;""),Movimenti!$A998,$B$32)</f>
        <v>45596.0</v>
      </c>
      <c r="AE1016">
        <f>IF(Movimenti!$L998="",0,N(Movimenti!$L998))</f>
        <v>0</v>
      </c>
    </row>
    <row r="1017">
      <c r="AD1017">
        <f>IF(AND(ISNUMBER(Movimenti!$A999),Movimenti!$L999&lt;&gt;""),Movimenti!$A999,$B$32)</f>
        <v>45596.0</v>
      </c>
      <c r="AE1017">
        <f>IF(Movimenti!$L999="",0,N(Movimenti!$L999))</f>
        <v>0</v>
      </c>
    </row>
    <row r="1018">
      <c r="AD1018">
        <f>IF(AND(ISNUMBER(Movimenti!$A1000),Movimenti!$L1000&lt;&gt;""),Movimenti!$A1000,$B$32)</f>
        <v>45596.0</v>
      </c>
      <c r="AE1018">
        <f>IF(Movimenti!$L1000="",0,N(Movimenti!$L1000))</f>
        <v>0</v>
      </c>
    </row>
    <row r="1019">
      <c r="AD1019">
        <f>IF(AND(ISNUMBER(Movimenti!$A1001),Movimenti!$L1001&lt;&gt;""),Movimenti!$A1001,$B$32)</f>
        <v>45596.0</v>
      </c>
      <c r="AE1019">
        <f>IF(Movimenti!$L1001="",0,N(Movimenti!$L1001))</f>
        <v>0</v>
      </c>
    </row>
    <row r="1020">
      <c r="AD1020">
        <f>IF(AND(ISNUMBER(Movimenti!$A1002),Movimenti!$L1002&lt;&gt;""),Movimenti!$A1002,$B$32)</f>
        <v>45596.0</v>
      </c>
      <c r="AE1020">
        <f>IF(Movimenti!$L1002="",0,N(Movimenti!$L1002))</f>
        <v>0</v>
      </c>
    </row>
    <row r="1021">
      <c r="AD1021">
        <f>IF(AND(ISNUMBER(Movimenti!$A1003),Movimenti!$L1003&lt;&gt;""),Movimenti!$A1003,$B$32)</f>
        <v>45596.0</v>
      </c>
      <c r="AE1021">
        <f>IF(Movimenti!$L1003="",0,N(Movimenti!$L1003))</f>
        <v>0</v>
      </c>
    </row>
    <row r="1022">
      <c r="AD1022">
        <f>IF(AND(ISNUMBER(Movimenti!$A1004),Movimenti!$L1004&lt;&gt;""),Movimenti!$A1004,$B$32)</f>
        <v>45596.0</v>
      </c>
      <c r="AE1022">
        <f>IF(Movimenti!$L1004="",0,N(Movimenti!$L1004))</f>
        <v>0</v>
      </c>
    </row>
    <row r="1023">
      <c r="AD1023">
        <f>$B$42</f>
        <v>46315.0</v>
      </c>
      <c r="AE1023">
        <f>$B$25</f>
        <v>17074.29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2026-10-23T21:15:08Z</dcterms:created>
  <dcterms:modified xmlns:dcterms="http://purl.org/dc/terms/" xmlns:xsi="http://www.w3.org/2001/XMLSchema-instance" xsi:type="dcterms:W3CDTF">2026-10-23T21:15:10Z</dcterms:modified>
</cp:coreProperties>
</file>